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fcd\Desktop\研发中心和生活园区家具招标文件\"/>
    </mc:Choice>
  </mc:AlternateContent>
  <xr:revisionPtr revIDLastSave="0" documentId="13_ncr:1_{54F521D3-4FB5-4571-B99B-B20BB4C247AB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Sheet1" sheetId="1" state="hidden" r:id="rId1"/>
    <sheet name="办公楼及宿舍楼家具报价" sheetId="2" r:id="rId2"/>
    <sheet name="参考方案" sheetId="6" r:id="rId3"/>
    <sheet name="上京宿舍及公司物品" sheetId="3" state="hidden" r:id="rId4"/>
    <sheet name="生活园区宿舍物品清单" sheetId="4" state="hidden" r:id="rId5"/>
    <sheet name="入住生活园区宿舍房间数量汇总表" sheetId="5" state="hidden" r:id="rId6"/>
  </sheets>
  <definedNames>
    <definedName name="_xlnm._FilterDatabase" localSheetId="1" hidden="1">办公楼及宿舍楼家具报价!$A$2:$M$104</definedName>
    <definedName name="_xlnm.Print_Titles" localSheetId="1">办公楼及宿舍楼家具报价!$1:$2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9" i="6" l="1"/>
  <c r="D118" i="6"/>
  <c r="D116" i="6"/>
  <c r="D115" i="6"/>
  <c r="D114" i="6"/>
  <c r="D113" i="6"/>
  <c r="D111" i="6"/>
  <c r="D123" i="6"/>
  <c r="D122" i="6"/>
  <c r="D121" i="6"/>
  <c r="A99" i="2"/>
  <c r="A98" i="2"/>
  <c r="A97" i="2"/>
  <c r="A96" i="2"/>
  <c r="A95" i="2"/>
  <c r="A94" i="2"/>
  <c r="A93" i="2"/>
  <c r="A92" i="2"/>
  <c r="A91" i="2"/>
  <c r="A90" i="2"/>
  <c r="A89" i="2"/>
  <c r="A88" i="2"/>
  <c r="A9" i="5"/>
  <c r="A8" i="5"/>
  <c r="A7" i="5"/>
  <c r="A6" i="5"/>
  <c r="A5" i="5"/>
  <c r="A4" i="5"/>
  <c r="A3" i="5"/>
  <c r="A49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3" i="4"/>
  <c r="A32" i="4"/>
  <c r="A31" i="4"/>
  <c r="A30" i="4"/>
  <c r="A29" i="4"/>
  <c r="A28" i="4"/>
  <c r="A27" i="4"/>
  <c r="A26" i="4"/>
  <c r="A25" i="4"/>
  <c r="A24" i="4"/>
  <c r="A22" i="4"/>
  <c r="A21" i="4"/>
  <c r="A20" i="4"/>
  <c r="A19" i="4"/>
  <c r="A18" i="4"/>
  <c r="A17" i="4"/>
  <c r="A16" i="4"/>
  <c r="A15" i="4"/>
  <c r="A14" i="4"/>
  <c r="A13" i="4"/>
  <c r="A11" i="4"/>
  <c r="A10" i="4"/>
  <c r="A9" i="4"/>
  <c r="A8" i="4"/>
  <c r="A7" i="4"/>
  <c r="A6" i="4"/>
  <c r="A5" i="4"/>
  <c r="A4" i="4"/>
  <c r="A3" i="4"/>
  <c r="A15" i="3"/>
  <c r="A14" i="3"/>
  <c r="A13" i="3"/>
  <c r="A12" i="3"/>
  <c r="A11" i="3"/>
  <c r="A10" i="3"/>
  <c r="A9" i="3"/>
  <c r="A8" i="3"/>
  <c r="A7" i="3"/>
  <c r="A6" i="3"/>
  <c r="A5" i="3"/>
  <c r="A3" i="3"/>
  <c r="I109" i="6"/>
  <c r="I108" i="6"/>
  <c r="D108" i="6"/>
  <c r="I106" i="6"/>
  <c r="D106" i="6"/>
  <c r="I105" i="6"/>
  <c r="D105" i="6"/>
  <c r="D104" i="6"/>
  <c r="I103" i="6"/>
  <c r="D103" i="6"/>
  <c r="D102" i="6"/>
  <c r="D101" i="6"/>
  <c r="I100" i="6"/>
  <c r="D100" i="6"/>
  <c r="I99" i="6"/>
  <c r="D99" i="6"/>
  <c r="I98" i="6"/>
  <c r="D98" i="6"/>
  <c r="I97" i="6"/>
  <c r="D97" i="6"/>
  <c r="I96" i="6"/>
  <c r="D96" i="6"/>
  <c r="I95" i="6"/>
  <c r="D95" i="6"/>
  <c r="I94" i="6"/>
  <c r="D94" i="6"/>
  <c r="I92" i="6"/>
  <c r="I91" i="6"/>
  <c r="I88" i="6"/>
  <c r="I87" i="6"/>
  <c r="D87" i="6"/>
  <c r="I86" i="6"/>
  <c r="D86" i="6"/>
  <c r="D85" i="6"/>
  <c r="D84" i="6"/>
  <c r="I83" i="6"/>
  <c r="D83" i="6"/>
  <c r="D81" i="6"/>
  <c r="D80" i="6"/>
  <c r="D79" i="6"/>
  <c r="D78" i="6"/>
  <c r="I77" i="6"/>
  <c r="D77" i="6"/>
  <c r="I76" i="6"/>
  <c r="D76" i="6"/>
  <c r="I75" i="6"/>
  <c r="D75" i="6"/>
  <c r="I74" i="6"/>
  <c r="D74" i="6"/>
  <c r="I73" i="6"/>
  <c r="D73" i="6"/>
  <c r="I72" i="6"/>
  <c r="D72" i="6"/>
  <c r="D71" i="6"/>
  <c r="I70" i="6"/>
  <c r="D70" i="6"/>
  <c r="I69" i="6"/>
  <c r="D69" i="6"/>
  <c r="I68" i="6"/>
  <c r="D68" i="6"/>
  <c r="D66" i="6"/>
  <c r="D65" i="6"/>
  <c r="D64" i="6"/>
  <c r="I63" i="6"/>
  <c r="D63" i="6"/>
  <c r="I62" i="6"/>
  <c r="D62" i="6"/>
  <c r="I61" i="6"/>
  <c r="D61" i="6"/>
  <c r="I60" i="6"/>
  <c r="D60" i="6"/>
  <c r="I59" i="6"/>
  <c r="D59" i="6"/>
  <c r="D57" i="6"/>
  <c r="D56" i="6"/>
  <c r="D55" i="6"/>
  <c r="D54" i="6"/>
  <c r="D53" i="6"/>
  <c r="I52" i="6"/>
  <c r="D52" i="6"/>
  <c r="I51" i="6"/>
  <c r="D51" i="6"/>
  <c r="I50" i="6"/>
  <c r="D50" i="6"/>
  <c r="I49" i="6"/>
  <c r="I48" i="6"/>
  <c r="D48" i="6"/>
  <c r="I45" i="6"/>
  <c r="D44" i="6"/>
  <c r="D43" i="6"/>
  <c r="I42" i="6"/>
  <c r="D42" i="6"/>
  <c r="I41" i="6"/>
  <c r="I40" i="6"/>
  <c r="D40" i="6"/>
  <c r="I39" i="6"/>
  <c r="D39" i="6"/>
  <c r="I38" i="6"/>
  <c r="D38" i="6"/>
  <c r="I37" i="6"/>
  <c r="D37" i="6"/>
  <c r="I35" i="6"/>
  <c r="I34" i="6"/>
  <c r="I33" i="6"/>
  <c r="I32" i="6"/>
  <c r="I31" i="6"/>
  <c r="D31" i="6"/>
  <c r="I30" i="6"/>
  <c r="D30" i="6"/>
  <c r="I29" i="6"/>
  <c r="D29" i="6"/>
  <c r="D28" i="6"/>
  <c r="D27" i="6"/>
  <c r="I26" i="6"/>
  <c r="D26" i="6"/>
  <c r="I25" i="6"/>
  <c r="D25" i="6"/>
  <c r="I24" i="6"/>
  <c r="I23" i="6"/>
  <c r="D23" i="6"/>
  <c r="I22" i="6"/>
  <c r="D22" i="6"/>
  <c r="I21" i="6"/>
  <c r="D21" i="6"/>
  <c r="I20" i="6"/>
  <c r="D20" i="6"/>
  <c r="I18" i="6"/>
  <c r="I17" i="6"/>
  <c r="I16" i="6"/>
  <c r="I15" i="6"/>
  <c r="D15" i="6"/>
  <c r="I14" i="6"/>
  <c r="D14" i="6"/>
  <c r="I13" i="6"/>
  <c r="D13" i="6"/>
  <c r="D12" i="6"/>
  <c r="I10" i="6"/>
  <c r="D10" i="6"/>
  <c r="I9" i="6"/>
  <c r="D9" i="6"/>
  <c r="I8" i="6"/>
  <c r="I7" i="6"/>
  <c r="D7" i="6"/>
  <c r="I6" i="6"/>
  <c r="D6" i="6"/>
  <c r="I5" i="6"/>
  <c r="D5" i="6"/>
  <c r="I4" i="6"/>
  <c r="D4" i="6"/>
  <c r="J86" i="2"/>
  <c r="H86" i="2"/>
  <c r="A86" i="2"/>
  <c r="J85" i="2"/>
  <c r="H85" i="2"/>
  <c r="A85" i="2"/>
  <c r="J84" i="2"/>
  <c r="H84" i="2"/>
  <c r="A84" i="2"/>
  <c r="J83" i="2"/>
  <c r="H83" i="2"/>
  <c r="A83" i="2"/>
  <c r="J81" i="2"/>
  <c r="H81" i="2"/>
  <c r="A81" i="2"/>
  <c r="J80" i="2"/>
  <c r="H80" i="2"/>
  <c r="A80" i="2"/>
  <c r="J79" i="2"/>
  <c r="A79" i="2"/>
  <c r="H78" i="2"/>
  <c r="A78" i="2"/>
  <c r="J77" i="2"/>
  <c r="H77" i="2"/>
  <c r="A77" i="2"/>
  <c r="J76" i="2"/>
  <c r="H76" i="2"/>
  <c r="A76" i="2"/>
  <c r="J75" i="2"/>
  <c r="H75" i="2"/>
  <c r="A75" i="2"/>
  <c r="J73" i="2"/>
  <c r="H73" i="2"/>
  <c r="A73" i="2"/>
  <c r="J72" i="2"/>
  <c r="H72" i="2"/>
  <c r="A72" i="2"/>
  <c r="J71" i="2"/>
  <c r="H71" i="2"/>
  <c r="A71" i="2"/>
  <c r="J70" i="2"/>
  <c r="H70" i="2"/>
  <c r="A70" i="2"/>
  <c r="J69" i="2"/>
  <c r="H69" i="2"/>
  <c r="A69" i="2"/>
  <c r="J67" i="2"/>
  <c r="H67" i="2"/>
  <c r="A67" i="2"/>
  <c r="J66" i="2"/>
  <c r="H66" i="2"/>
  <c r="A66" i="2"/>
  <c r="J64" i="2"/>
  <c r="H64" i="2"/>
  <c r="A64" i="2"/>
  <c r="J63" i="2"/>
  <c r="H63" i="2"/>
  <c r="A63" i="2"/>
  <c r="J61" i="2"/>
  <c r="H61" i="2"/>
  <c r="A61" i="2"/>
  <c r="J60" i="2"/>
  <c r="H60" i="2"/>
  <c r="A60" i="2"/>
  <c r="J58" i="2"/>
  <c r="H58" i="2"/>
  <c r="A58" i="2"/>
  <c r="J57" i="2"/>
  <c r="H57" i="2"/>
  <c r="A57" i="2"/>
  <c r="J55" i="2"/>
  <c r="H55" i="2"/>
  <c r="A55" i="2"/>
  <c r="J54" i="2"/>
  <c r="H54" i="2"/>
  <c r="A54" i="2"/>
  <c r="J52" i="2"/>
  <c r="H52" i="2"/>
  <c r="A52" i="2"/>
  <c r="J51" i="2"/>
  <c r="H51" i="2"/>
  <c r="A51" i="2"/>
  <c r="J50" i="2"/>
  <c r="H50" i="2"/>
  <c r="A50" i="2"/>
  <c r="J49" i="2"/>
  <c r="H49" i="2"/>
  <c r="A49" i="2"/>
  <c r="J48" i="2"/>
  <c r="H48" i="2"/>
  <c r="A48" i="2"/>
  <c r="J47" i="2"/>
  <c r="H47" i="2"/>
  <c r="A47" i="2"/>
  <c r="J45" i="2"/>
  <c r="H45" i="2"/>
  <c r="A45" i="2"/>
  <c r="J44" i="2"/>
  <c r="H44" i="2"/>
  <c r="A44" i="2"/>
  <c r="J43" i="2"/>
  <c r="H43" i="2"/>
  <c r="A43" i="2"/>
  <c r="J42" i="2"/>
  <c r="H42" i="2"/>
  <c r="A42" i="2"/>
  <c r="J41" i="2"/>
  <c r="H41" i="2"/>
  <c r="A41" i="2"/>
  <c r="J40" i="2"/>
  <c r="A40" i="2"/>
  <c r="J39" i="2"/>
  <c r="A39" i="2"/>
  <c r="J38" i="2"/>
  <c r="H38" i="2"/>
  <c r="A38" i="2"/>
  <c r="J37" i="2"/>
  <c r="H37" i="2"/>
  <c r="A37" i="2"/>
  <c r="J36" i="2"/>
  <c r="H36" i="2"/>
  <c r="A36" i="2"/>
  <c r="J34" i="2"/>
  <c r="H34" i="2"/>
  <c r="A34" i="2"/>
  <c r="J33" i="2"/>
  <c r="H33" i="2"/>
  <c r="A33" i="2"/>
  <c r="J32" i="2"/>
  <c r="A32" i="2"/>
  <c r="J31" i="2"/>
  <c r="A31" i="2"/>
  <c r="J30" i="2"/>
  <c r="H30" i="2"/>
  <c r="A30" i="2"/>
  <c r="J29" i="2"/>
  <c r="H29" i="2"/>
  <c r="A29" i="2"/>
  <c r="J28" i="2"/>
  <c r="H28" i="2"/>
  <c r="A28" i="2"/>
  <c r="J27" i="2"/>
  <c r="H27" i="2"/>
  <c r="A27" i="2"/>
  <c r="J26" i="2"/>
  <c r="H26" i="2"/>
  <c r="A26" i="2"/>
  <c r="H25" i="2"/>
  <c r="A25" i="2"/>
  <c r="J24" i="2"/>
  <c r="H24" i="2"/>
  <c r="A24" i="2"/>
  <c r="J23" i="2"/>
  <c r="H23" i="2"/>
  <c r="A23" i="2"/>
  <c r="J22" i="2"/>
  <c r="A22" i="2"/>
  <c r="J21" i="2"/>
  <c r="H21" i="2"/>
  <c r="A21" i="2"/>
  <c r="J20" i="2"/>
  <c r="H20" i="2"/>
  <c r="A20" i="2"/>
  <c r="J19" i="2"/>
  <c r="H19" i="2"/>
  <c r="A19" i="2"/>
  <c r="J17" i="2"/>
  <c r="H17" i="2"/>
  <c r="A17" i="2"/>
  <c r="J16" i="2"/>
  <c r="H16" i="2"/>
  <c r="A16" i="2"/>
  <c r="J15" i="2"/>
  <c r="A15" i="2"/>
  <c r="J14" i="2"/>
  <c r="H14" i="2"/>
  <c r="A14" i="2"/>
  <c r="J13" i="2"/>
  <c r="H13" i="2"/>
  <c r="A13" i="2"/>
  <c r="J12" i="2"/>
  <c r="H12" i="2"/>
  <c r="A12" i="2"/>
  <c r="J11" i="2"/>
  <c r="H11" i="2"/>
  <c r="A11" i="2"/>
  <c r="J10" i="2"/>
  <c r="H10" i="2"/>
  <c r="A10" i="2"/>
  <c r="H9" i="2"/>
  <c r="A9" i="2"/>
  <c r="J8" i="2"/>
  <c r="H8" i="2"/>
  <c r="A8" i="2"/>
  <c r="J7" i="2"/>
  <c r="H7" i="2"/>
  <c r="A7" i="2"/>
  <c r="J6" i="2"/>
  <c r="A6" i="2"/>
  <c r="J5" i="2"/>
  <c r="H5" i="2"/>
  <c r="A5" i="2"/>
  <c r="J4" i="2"/>
  <c r="H4" i="2"/>
  <c r="A4" i="2"/>
  <c r="J3" i="2"/>
  <c r="H3" i="2"/>
  <c r="A3" i="2"/>
  <c r="N109" i="1"/>
  <c r="N108" i="1"/>
  <c r="D108" i="1"/>
  <c r="N106" i="1"/>
  <c r="D106" i="1"/>
  <c r="N105" i="1"/>
  <c r="D105" i="1"/>
  <c r="D104" i="1"/>
  <c r="N103" i="1"/>
  <c r="D103" i="1"/>
  <c r="D102" i="1"/>
  <c r="D101" i="1"/>
  <c r="N100" i="1"/>
  <c r="D100" i="1"/>
  <c r="N99" i="1"/>
  <c r="D99" i="1"/>
  <c r="N98" i="1"/>
  <c r="D98" i="1"/>
  <c r="N97" i="1"/>
  <c r="D97" i="1"/>
  <c r="N96" i="1"/>
  <c r="D96" i="1"/>
  <c r="N95" i="1"/>
  <c r="D95" i="1"/>
  <c r="N94" i="1"/>
  <c r="D94" i="1"/>
  <c r="N92" i="1"/>
  <c r="N91" i="1"/>
  <c r="N88" i="1"/>
  <c r="N87" i="1"/>
  <c r="D87" i="1"/>
  <c r="N86" i="1"/>
  <c r="D86" i="1"/>
  <c r="D85" i="1"/>
  <c r="D84" i="1"/>
  <c r="N83" i="1"/>
  <c r="D83" i="1"/>
  <c r="D81" i="1"/>
  <c r="D80" i="1"/>
  <c r="D79" i="1"/>
  <c r="D78" i="1"/>
  <c r="N77" i="1"/>
  <c r="D77" i="1"/>
  <c r="N76" i="1"/>
  <c r="D76" i="1"/>
  <c r="N75" i="1"/>
  <c r="D75" i="1"/>
  <c r="N74" i="1"/>
  <c r="D74" i="1"/>
  <c r="N73" i="1"/>
  <c r="D73" i="1"/>
  <c r="N72" i="1"/>
  <c r="D72" i="1"/>
  <c r="D71" i="1"/>
  <c r="N70" i="1"/>
  <c r="D70" i="1"/>
  <c r="N69" i="1"/>
  <c r="D69" i="1"/>
  <c r="N68" i="1"/>
  <c r="D68" i="1"/>
  <c r="D66" i="1"/>
  <c r="D65" i="1"/>
  <c r="D64" i="1"/>
  <c r="N63" i="1"/>
  <c r="D63" i="1"/>
  <c r="N62" i="1"/>
  <c r="D62" i="1"/>
  <c r="N61" i="1"/>
  <c r="D61" i="1"/>
  <c r="N60" i="1"/>
  <c r="D60" i="1"/>
  <c r="N59" i="1"/>
  <c r="D59" i="1"/>
  <c r="D57" i="1"/>
  <c r="D56" i="1"/>
  <c r="D55" i="1"/>
  <c r="D54" i="1"/>
  <c r="D53" i="1"/>
  <c r="N52" i="1"/>
  <c r="D52" i="1"/>
  <c r="N51" i="1"/>
  <c r="D51" i="1"/>
  <c r="N50" i="1"/>
  <c r="D50" i="1"/>
  <c r="N49" i="1"/>
  <c r="N48" i="1"/>
  <c r="D48" i="1"/>
  <c r="N45" i="1"/>
  <c r="D44" i="1"/>
  <c r="D43" i="1"/>
  <c r="N42" i="1"/>
  <c r="D42" i="1"/>
  <c r="N41" i="1"/>
  <c r="N40" i="1"/>
  <c r="D40" i="1"/>
  <c r="N39" i="1"/>
  <c r="D39" i="1"/>
  <c r="N38" i="1"/>
  <c r="D38" i="1"/>
  <c r="N37" i="1"/>
  <c r="D37" i="1"/>
  <c r="N35" i="1"/>
  <c r="N34" i="1"/>
  <c r="N33" i="1"/>
  <c r="N32" i="1"/>
  <c r="N31" i="1"/>
  <c r="D31" i="1"/>
  <c r="N30" i="1"/>
  <c r="D30" i="1"/>
  <c r="N29" i="1"/>
  <c r="D29" i="1"/>
  <c r="D28" i="1"/>
  <c r="D27" i="1"/>
  <c r="N26" i="1"/>
  <c r="D26" i="1"/>
  <c r="N25" i="1"/>
  <c r="D25" i="1"/>
  <c r="N24" i="1"/>
  <c r="N23" i="1"/>
  <c r="D23" i="1"/>
  <c r="N22" i="1"/>
  <c r="D22" i="1"/>
  <c r="N21" i="1"/>
  <c r="D21" i="1"/>
  <c r="N20" i="1"/>
  <c r="D20" i="1"/>
  <c r="N18" i="1"/>
  <c r="N17" i="1"/>
  <c r="N16" i="1"/>
  <c r="N15" i="1"/>
  <c r="D15" i="1"/>
  <c r="N14" i="1"/>
  <c r="D14" i="1"/>
  <c r="N13" i="1"/>
  <c r="D13" i="1"/>
  <c r="D12" i="1"/>
  <c r="N10" i="1"/>
  <c r="D10" i="1"/>
  <c r="N9" i="1"/>
  <c r="D9" i="1"/>
  <c r="N8" i="1"/>
  <c r="N7" i="1"/>
  <c r="D7" i="1"/>
  <c r="N6" i="1"/>
  <c r="D6" i="1"/>
  <c r="N5" i="1"/>
  <c r="D5" i="1"/>
  <c r="N4" i="1"/>
  <c r="D4" i="1"/>
  <c r="J62" i="2" l="1"/>
  <c r="J74" i="2"/>
  <c r="J65" i="2"/>
  <c r="J35" i="2"/>
  <c r="J56" i="2"/>
  <c r="J68" i="2"/>
  <c r="J18" i="2"/>
  <c r="H46" i="2"/>
  <c r="J53" i="2"/>
  <c r="H62" i="2"/>
  <c r="H59" i="2"/>
  <c r="H74" i="2"/>
  <c r="H82" i="2"/>
  <c r="J82" i="2"/>
  <c r="H53" i="2"/>
  <c r="H35" i="2"/>
  <c r="J59" i="2"/>
  <c r="H18" i="2"/>
  <c r="H56" i="2"/>
  <c r="H68" i="2"/>
  <c r="J46" i="2"/>
  <c r="H65" i="2"/>
</calcChain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DA84EC65895F4167B33804180FD33E9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195" y="5052060"/>
          <a:ext cx="1148080" cy="770255"/>
        </a:xfrm>
        <a:prstGeom prst="rect">
          <a:avLst/>
        </a:prstGeom>
      </xdr:spPr>
    </xdr:pic>
  </etc:cellImage>
  <etc:cellImage>
    <xdr:pic>
      <xdr:nvPicPr>
        <xdr:cNvPr id="8" name="ID_D39D56CD49FB48F59A63CC1237A794E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9280" y="1310005"/>
          <a:ext cx="1057910" cy="446405"/>
        </a:xfrm>
        <a:prstGeom prst="rect">
          <a:avLst/>
        </a:prstGeom>
      </xdr:spPr>
    </xdr:pic>
  </etc:cellImage>
  <etc:cellImage>
    <xdr:pic>
      <xdr:nvPicPr>
        <xdr:cNvPr id="6" name="ID_627CD400954844478C0F12213850A95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7075" y="7423150"/>
          <a:ext cx="780415" cy="685165"/>
        </a:xfrm>
        <a:prstGeom prst="rect">
          <a:avLst/>
        </a:prstGeom>
      </xdr:spPr>
    </xdr:pic>
  </etc:cellImage>
  <etc:cellImage>
    <xdr:pic>
      <xdr:nvPicPr>
        <xdr:cNvPr id="4" name="ID_CDF006106F1443028DDEE1DFA20DFF6B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6570" y="6713220"/>
          <a:ext cx="1242060" cy="469265"/>
        </a:xfrm>
        <a:prstGeom prst="rect">
          <a:avLst/>
        </a:prstGeom>
      </xdr:spPr>
    </xdr:pic>
  </etc:cellImage>
  <etc:cellImage>
    <xdr:pic>
      <xdr:nvPicPr>
        <xdr:cNvPr id="5" name="ID_8F047612C3D34BD2BCD21350C95A73F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1685" y="2413635"/>
          <a:ext cx="671830" cy="828040"/>
        </a:xfrm>
        <a:prstGeom prst="rect">
          <a:avLst/>
        </a:prstGeom>
      </xdr:spPr>
    </xdr:pic>
  </etc:cellImage>
  <etc:cellImage>
    <xdr:pic>
      <xdr:nvPicPr>
        <xdr:cNvPr id="9" name="ID_8A200BFBAF99480CA301A4C5E5E1C39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3100" y="8470900"/>
          <a:ext cx="889000" cy="385445"/>
        </a:xfrm>
        <a:prstGeom prst="rect">
          <a:avLst/>
        </a:prstGeom>
      </xdr:spPr>
    </xdr:pic>
  </etc:cellImage>
  <etc:cellImage>
    <xdr:pic>
      <xdr:nvPicPr>
        <xdr:cNvPr id="7" name="ID_5F9734CB03224153AF80F4155494520E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1210" y="3900805"/>
          <a:ext cx="654050" cy="768985"/>
        </a:xfrm>
        <a:prstGeom prst="rect">
          <a:avLst/>
        </a:prstGeom>
      </xdr:spPr>
    </xdr:pic>
  </etc:cellImage>
  <etc:cellImage>
    <xdr:pic>
      <xdr:nvPicPr>
        <xdr:cNvPr id="11" name="ID_D2DBC2FE6CA64566998BE7BC289B54EE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5955" y="5947410"/>
          <a:ext cx="558800" cy="473075"/>
        </a:xfrm>
        <a:prstGeom prst="rect">
          <a:avLst/>
        </a:prstGeom>
      </xdr:spPr>
    </xdr:pic>
  </etc:cellImage>
  <etc:cellImage>
    <xdr:pic>
      <xdr:nvPicPr>
        <xdr:cNvPr id="10" name="ID_23D693BEF2CE488385EE5E3DA6BE102E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5020" y="9383395"/>
          <a:ext cx="645160" cy="503555"/>
        </a:xfrm>
        <a:prstGeom prst="rect">
          <a:avLst/>
        </a:prstGeom>
      </xdr:spPr>
    </xdr:pic>
  </etc:cellImage>
  <etc:cellImage>
    <xdr:pic>
      <xdr:nvPicPr>
        <xdr:cNvPr id="3" name="ID_B3FEAD60966B473AA51679E9E9C15944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365" y="10384155"/>
          <a:ext cx="1218565" cy="586105"/>
        </a:xfrm>
        <a:prstGeom prst="rect">
          <a:avLst/>
        </a:prstGeom>
      </xdr:spPr>
    </xdr:pic>
  </etc:cellImage>
  <etc:cellImage>
    <xdr:pic>
      <xdr:nvPicPr>
        <xdr:cNvPr id="68" name="ID_4AADA9D4F77A4312BB1BB2D3A14FBEDA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126637415"/>
          <a:ext cx="1508760" cy="969010"/>
        </a:xfrm>
        <a:prstGeom prst="rect">
          <a:avLst/>
        </a:prstGeom>
      </xdr:spPr>
    </xdr:pic>
  </etc:cellImage>
  <etc:cellImage>
    <xdr:pic>
      <xdr:nvPicPr>
        <xdr:cNvPr id="69" name="ID_501D1F209DFA424EA52A9F924C087FAC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270" y="123212860"/>
          <a:ext cx="1390015" cy="768985"/>
        </a:xfrm>
        <a:prstGeom prst="rect">
          <a:avLst/>
        </a:prstGeom>
      </xdr:spPr>
    </xdr:pic>
  </etc:cellImage>
  <etc:cellImage>
    <xdr:pic>
      <xdr:nvPicPr>
        <xdr:cNvPr id="67" name="ID_1C8659CAB841436DA2979C35145C63AF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570" y="116354860"/>
          <a:ext cx="1417955" cy="736600"/>
        </a:xfrm>
        <a:prstGeom prst="rect">
          <a:avLst/>
        </a:prstGeom>
      </xdr:spPr>
    </xdr:pic>
  </etc:cellImage>
  <etc:cellImage>
    <xdr:pic>
      <xdr:nvPicPr>
        <xdr:cNvPr id="66" name="ID_AD146F75FF6D47549254587DB1FE0121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5535" y="119903875"/>
          <a:ext cx="1469390" cy="763905"/>
        </a:xfrm>
        <a:prstGeom prst="rect">
          <a:avLst/>
        </a:prstGeom>
      </xdr:spPr>
    </xdr:pic>
  </etc:cellImage>
  <etc:cellImage>
    <xdr:pic>
      <xdr:nvPicPr>
        <xdr:cNvPr id="65" name="ID_EB05D246355E4EBBA331A9F9E508EF4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405" y="117843935"/>
          <a:ext cx="1471295" cy="763905"/>
        </a:xfrm>
        <a:prstGeom prst="rect">
          <a:avLst/>
        </a:prstGeom>
      </xdr:spPr>
    </xdr:pic>
  </etc:cellImage>
  <etc:cellImage>
    <xdr:pic>
      <xdr:nvPicPr>
        <xdr:cNvPr id="64" name="ID_954A063B8B034FA2AEDE799D017C0A3B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70" y="121321830"/>
          <a:ext cx="1347470" cy="889635"/>
        </a:xfrm>
        <a:prstGeom prst="rect">
          <a:avLst/>
        </a:prstGeom>
      </xdr:spPr>
    </xdr:pic>
  </etc:cellImage>
  <etc:cellImage>
    <xdr:pic>
      <xdr:nvPicPr>
        <xdr:cNvPr id="76" name="ID_1688C2C104114AF0AB690A344ADB8DF1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920" y="137321925"/>
          <a:ext cx="1405255" cy="1033780"/>
        </a:xfrm>
        <a:prstGeom prst="rect">
          <a:avLst/>
        </a:prstGeom>
      </xdr:spPr>
    </xdr:pic>
  </etc:cellImage>
  <etc:cellImage>
    <xdr:pic>
      <xdr:nvPicPr>
        <xdr:cNvPr id="70" name="ID_D2CACAC368E24319815C2D4AA0F44076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270" y="124803535"/>
          <a:ext cx="1390015" cy="768350"/>
        </a:xfrm>
        <a:prstGeom prst="rect">
          <a:avLst/>
        </a:prstGeom>
      </xdr:spPr>
    </xdr:pic>
  </etc:cellImage>
  <etc:cellImage>
    <xdr:pic>
      <xdr:nvPicPr>
        <xdr:cNvPr id="73" name="ID_46A3472BEDCA4A6A8933FBC0FA4B396C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220" y="128795780"/>
          <a:ext cx="1428115" cy="728980"/>
        </a:xfrm>
        <a:prstGeom prst="rect">
          <a:avLst/>
        </a:prstGeom>
      </xdr:spPr>
    </xdr:pic>
  </etc:cellImage>
  <etc:cellImage>
    <xdr:pic>
      <xdr:nvPicPr>
        <xdr:cNvPr id="74" name="ID_BA2B0328F0604048B7E77F7334A38918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745" y="130423285"/>
          <a:ext cx="902335" cy="944880"/>
        </a:xfrm>
        <a:prstGeom prst="rect">
          <a:avLst/>
        </a:prstGeom>
      </xdr:spPr>
    </xdr:pic>
  </etc:cellImage>
  <etc:cellImage>
    <xdr:pic>
      <xdr:nvPicPr>
        <xdr:cNvPr id="72" name="ID_6CB0FE4F548141A68DC84BC0A4B2A68C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3795" y="132130165"/>
          <a:ext cx="1372235" cy="998855"/>
        </a:xfrm>
        <a:prstGeom prst="rect">
          <a:avLst/>
        </a:prstGeom>
      </xdr:spPr>
    </xdr:pic>
  </etc:cellImage>
  <etc:cellImage>
    <xdr:pic>
      <xdr:nvPicPr>
        <xdr:cNvPr id="71" name="ID_C7FB6CC1EC104AF5AB3ABF07A4DBD3DC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3795" y="133866255"/>
          <a:ext cx="1372235" cy="998855"/>
        </a:xfrm>
        <a:prstGeom prst="rect">
          <a:avLst/>
        </a:prstGeom>
      </xdr:spPr>
    </xdr:pic>
  </etc:cellImage>
  <etc:cellImage>
    <xdr:pic>
      <xdr:nvPicPr>
        <xdr:cNvPr id="75" name="ID_F7ACAABD1C5944C5954452766FA12663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650" y="135586470"/>
          <a:ext cx="1407160" cy="1033780"/>
        </a:xfrm>
        <a:prstGeom prst="rect">
          <a:avLst/>
        </a:prstGeom>
      </xdr:spPr>
    </xdr:pic>
  </etc:cellImage>
  <etc:cellImage>
    <xdr:pic>
      <xdr:nvPicPr>
        <xdr:cNvPr id="13" name="ID_B6CA991F545140C7BD0375593EA5D78D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5960" y="12860655"/>
          <a:ext cx="842645" cy="955675"/>
        </a:xfrm>
        <a:prstGeom prst="rect">
          <a:avLst/>
        </a:prstGeom>
      </xdr:spPr>
    </xdr:pic>
  </etc:cellImage>
  <etc:cellImage>
    <xdr:pic>
      <xdr:nvPicPr>
        <xdr:cNvPr id="12" name="ID_208FCD6E7E64483FA1BB840146878BC0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585" y="11929745"/>
          <a:ext cx="1256030" cy="673100"/>
        </a:xfrm>
        <a:prstGeom prst="rect">
          <a:avLst/>
        </a:prstGeom>
      </xdr:spPr>
    </xdr:pic>
  </etc:cellImage>
  <etc:cellImage>
    <xdr:pic>
      <xdr:nvPicPr>
        <xdr:cNvPr id="16" name="ID_A371DCB7B6B24D4984F414E4BE22DDD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6570" y="15463520"/>
          <a:ext cx="1242060" cy="469900"/>
        </a:xfrm>
        <a:prstGeom prst="rect">
          <a:avLst/>
        </a:prstGeom>
      </xdr:spPr>
    </xdr:pic>
  </etc:cellImage>
  <etc:cellImage>
    <xdr:pic>
      <xdr:nvPicPr>
        <xdr:cNvPr id="15" name="ID_F31F309DBC64422C9594BD49891E8EFB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4161770"/>
          <a:ext cx="802005" cy="944880"/>
        </a:xfrm>
        <a:prstGeom prst="rect">
          <a:avLst/>
        </a:prstGeom>
      </xdr:spPr>
    </xdr:pic>
  </etc:cellImage>
  <etc:cellImage>
    <xdr:pic>
      <xdr:nvPicPr>
        <xdr:cNvPr id="18" name="ID_619B2443FCEF4BC6A068EAEE13C8DD76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6105" y="18916015"/>
          <a:ext cx="1062355" cy="498475"/>
        </a:xfrm>
        <a:prstGeom prst="rect">
          <a:avLst/>
        </a:prstGeom>
      </xdr:spPr>
    </xdr:pic>
  </etc:cellImage>
  <etc:cellImage>
    <xdr:pic>
      <xdr:nvPicPr>
        <xdr:cNvPr id="19" name="ID_A88173324CD840138893D56EFF229789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1510" y="17150715"/>
          <a:ext cx="931545" cy="410210"/>
        </a:xfrm>
        <a:prstGeom prst="rect">
          <a:avLst/>
        </a:prstGeom>
      </xdr:spPr>
    </xdr:pic>
  </etc:cellImage>
  <etc:cellImage>
    <xdr:pic>
      <xdr:nvPicPr>
        <xdr:cNvPr id="17" name="ID_E53E188392D146BFAF7FF72A3165A173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7075" y="16162020"/>
          <a:ext cx="780415" cy="661035"/>
        </a:xfrm>
        <a:prstGeom prst="rect">
          <a:avLst/>
        </a:prstGeom>
      </xdr:spPr>
    </xdr:pic>
  </etc:cellImage>
  <etc:cellImage>
    <xdr:pic>
      <xdr:nvPicPr>
        <xdr:cNvPr id="20" name="ID_93FE67A6854D4BDC8E8522D2A9144156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3275" y="18049240"/>
          <a:ext cx="644525" cy="502285"/>
        </a:xfrm>
        <a:prstGeom prst="rect">
          <a:avLst/>
        </a:prstGeom>
      </xdr:spPr>
    </xdr:pic>
  </etc:cellImage>
  <etc:cellImage>
    <xdr:pic>
      <xdr:nvPicPr>
        <xdr:cNvPr id="22" name="ID_FF9B3EFDC64B4F828534FEC755A53F7D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3605" y="19600545"/>
          <a:ext cx="427990" cy="521335"/>
        </a:xfrm>
        <a:prstGeom prst="rect">
          <a:avLst/>
        </a:prstGeom>
      </xdr:spPr>
    </xdr:pic>
  </etc:cellImage>
  <etc:cellImage>
    <xdr:pic>
      <xdr:nvPicPr>
        <xdr:cNvPr id="21" name="ID_3714891C20DF484DBEA97BBE333C4B39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8835" y="20302855"/>
          <a:ext cx="558800" cy="473710"/>
        </a:xfrm>
        <a:prstGeom prst="rect">
          <a:avLst/>
        </a:prstGeom>
      </xdr:spPr>
    </xdr:pic>
  </etc:cellImage>
  <etc:cellImage>
    <xdr:pic>
      <xdr:nvPicPr>
        <xdr:cNvPr id="14" name="ID_E1AF901904944EF48A10E7D77264202C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3240" y="21076285"/>
          <a:ext cx="1188085" cy="659765"/>
        </a:xfrm>
        <a:prstGeom prst="rect">
          <a:avLst/>
        </a:prstGeom>
      </xdr:spPr>
    </xdr:pic>
  </etc:cellImage>
  <etc:cellImage>
    <xdr:pic>
      <xdr:nvPicPr>
        <xdr:cNvPr id="78" name="ID_C0D21E862683492080D1E6A2D4D0AD4A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70" y="144073245"/>
          <a:ext cx="1347470" cy="889635"/>
        </a:xfrm>
        <a:prstGeom prst="rect">
          <a:avLst/>
        </a:prstGeom>
      </xdr:spPr>
    </xdr:pic>
  </etc:cellImage>
  <etc:cellImage>
    <xdr:pic>
      <xdr:nvPicPr>
        <xdr:cNvPr id="79" name="ID_B924EA56E8074E54AFDE73D1CA34DB68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405" y="140950950"/>
          <a:ext cx="1471295" cy="763905"/>
        </a:xfrm>
        <a:prstGeom prst="rect">
          <a:avLst/>
        </a:prstGeom>
      </xdr:spPr>
    </xdr:pic>
  </etc:cellImage>
  <etc:cellImage>
    <xdr:pic>
      <xdr:nvPicPr>
        <xdr:cNvPr id="77" name="ID_B67886C6FD9346FA9D640ACD2C62E893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570" y="139482195"/>
          <a:ext cx="1417955" cy="736600"/>
        </a:xfrm>
        <a:prstGeom prst="rect">
          <a:avLst/>
        </a:prstGeom>
      </xdr:spPr>
    </xdr:pic>
  </etc:cellImage>
  <etc:cellImage>
    <xdr:pic>
      <xdr:nvPicPr>
        <xdr:cNvPr id="82" name="ID_F0EC5E48BE87456CB6483C31F0445C04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149233255"/>
          <a:ext cx="1508760" cy="970280"/>
        </a:xfrm>
        <a:prstGeom prst="rect">
          <a:avLst/>
        </a:prstGeom>
      </xdr:spPr>
    </xdr:pic>
  </etc:cellImage>
  <etc:cellImage>
    <xdr:pic>
      <xdr:nvPicPr>
        <xdr:cNvPr id="81" name="ID_AEE9C3C079D541B8B3CA3EEB82EE5B58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270" y="146048095"/>
          <a:ext cx="1390015" cy="770255"/>
        </a:xfrm>
        <a:prstGeom prst="rect">
          <a:avLst/>
        </a:prstGeom>
      </xdr:spPr>
    </xdr:pic>
  </etc:cellImage>
  <etc:cellImage>
    <xdr:pic>
      <xdr:nvPicPr>
        <xdr:cNvPr id="80" name="ID_C5BEC9C0B3294CB1B1F2A45C25A4148F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5535" y="142763240"/>
          <a:ext cx="1469390" cy="763905"/>
        </a:xfrm>
        <a:prstGeom prst="rect">
          <a:avLst/>
        </a:prstGeom>
      </xdr:spPr>
    </xdr:pic>
  </etc:cellImage>
  <etc:cellImage>
    <xdr:pic>
      <xdr:nvPicPr>
        <xdr:cNvPr id="84" name="ID_11C9CBFE6C7A4C9090F849877BA55B89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3795" y="151344630"/>
          <a:ext cx="1428115" cy="728980"/>
        </a:xfrm>
        <a:prstGeom prst="rect">
          <a:avLst/>
        </a:prstGeom>
      </xdr:spPr>
    </xdr:pic>
  </etc:cellImage>
  <etc:cellImage>
    <xdr:pic>
      <xdr:nvPicPr>
        <xdr:cNvPr id="83" name="ID_895A8AE0CDEE411399D189183039D6B0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270" y="147628610"/>
          <a:ext cx="1390015" cy="768350"/>
        </a:xfrm>
        <a:prstGeom prst="rect">
          <a:avLst/>
        </a:prstGeom>
      </xdr:spPr>
    </xdr:pic>
  </etc:cellImage>
  <etc:cellImage>
    <xdr:pic>
      <xdr:nvPicPr>
        <xdr:cNvPr id="85" name="ID_BE16974B3BE14B408DD9579CB4F61A1E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745" y="152634950"/>
          <a:ext cx="902335" cy="944880"/>
        </a:xfrm>
        <a:prstGeom prst="rect">
          <a:avLst/>
        </a:prstGeom>
      </xdr:spPr>
    </xdr:pic>
  </etc:cellImage>
  <etc:cellImage>
    <xdr:pic>
      <xdr:nvPicPr>
        <xdr:cNvPr id="86" name="ID_839A4005749A4083B00A6AE442C4DF11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70" y="154139265"/>
          <a:ext cx="1315720" cy="1174115"/>
        </a:xfrm>
        <a:prstGeom prst="rect">
          <a:avLst/>
        </a:prstGeom>
      </xdr:spPr>
    </xdr:pic>
  </etc:cellImage>
  <etc:cellImage>
    <xdr:pic>
      <xdr:nvPicPr>
        <xdr:cNvPr id="89" name="ID_CBEC721D5E3D4A5A8EDBB5107BC90CA0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3795" y="155747085"/>
          <a:ext cx="1372235" cy="998855"/>
        </a:xfrm>
        <a:prstGeom prst="rect">
          <a:avLst/>
        </a:prstGeom>
      </xdr:spPr>
    </xdr:pic>
  </etc:cellImage>
  <etc:cellImage>
    <xdr:pic>
      <xdr:nvPicPr>
        <xdr:cNvPr id="88" name="ID_062C72DB79394389879495451866432F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3795" y="157163135"/>
          <a:ext cx="1372235" cy="998855"/>
        </a:xfrm>
        <a:prstGeom prst="rect">
          <a:avLst/>
        </a:prstGeom>
      </xdr:spPr>
    </xdr:pic>
  </etc:cellImage>
  <etc:cellImage>
    <xdr:pic>
      <xdr:nvPicPr>
        <xdr:cNvPr id="87" name="ID_6530099D29474D6A8389D6B7006C8F1A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455" y="158735395"/>
          <a:ext cx="1407160" cy="1010920"/>
        </a:xfrm>
        <a:prstGeom prst="rect">
          <a:avLst/>
        </a:prstGeom>
      </xdr:spPr>
    </xdr:pic>
  </etc:cellImage>
  <etc:cellImage>
    <xdr:pic>
      <xdr:nvPicPr>
        <xdr:cNvPr id="93" name="ID_9E40057FD5364DA58A127067A6B70D3B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920" y="160075880"/>
          <a:ext cx="1405255" cy="1033780"/>
        </a:xfrm>
        <a:prstGeom prst="rect">
          <a:avLst/>
        </a:prstGeom>
      </xdr:spPr>
    </xdr:pic>
  </etc:cellImage>
  <etc:cellImage>
    <xdr:pic>
      <xdr:nvPicPr>
        <xdr:cNvPr id="25" name="ID_C23314BA8811410DB6D7681FEA469A52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5" y="24024590"/>
          <a:ext cx="716915" cy="783590"/>
        </a:xfrm>
        <a:prstGeom prst="rect">
          <a:avLst/>
        </a:prstGeom>
      </xdr:spPr>
    </xdr:pic>
  </etc:cellImage>
  <etc:cellImage>
    <xdr:pic>
      <xdr:nvPicPr>
        <xdr:cNvPr id="27" name="ID_7EE7BB2500524762B5FAE4B3FD7CC5B0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0260" y="23028910"/>
          <a:ext cx="615315" cy="831850"/>
        </a:xfrm>
        <a:prstGeom prst="rect">
          <a:avLst/>
        </a:prstGeom>
      </xdr:spPr>
    </xdr:pic>
  </etc:cellImage>
  <etc:cellImage>
    <xdr:pic>
      <xdr:nvPicPr>
        <xdr:cNvPr id="26" name="ID_FDFB2C1EA7D24669ABB79A13A06088F7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2460" y="22280245"/>
          <a:ext cx="969010" cy="549275"/>
        </a:xfrm>
        <a:prstGeom prst="rect">
          <a:avLst/>
        </a:prstGeom>
      </xdr:spPr>
    </xdr:pic>
  </etc:cellImage>
  <etc:cellImage>
    <xdr:pic>
      <xdr:nvPicPr>
        <xdr:cNvPr id="24" name="ID_59BACDA03BA24923910EF317C8891330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320" y="25059005"/>
          <a:ext cx="1179195" cy="518795"/>
        </a:xfrm>
        <a:prstGeom prst="rect">
          <a:avLst/>
        </a:prstGeom>
      </xdr:spPr>
    </xdr:pic>
  </etc:cellImage>
  <etc:cellImage>
    <xdr:pic>
      <xdr:nvPicPr>
        <xdr:cNvPr id="29" name="ID_514CE6F304D5417998709F0EC896FCF8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1985" y="26656030"/>
          <a:ext cx="949960" cy="472440"/>
        </a:xfrm>
        <a:prstGeom prst="rect">
          <a:avLst/>
        </a:prstGeom>
      </xdr:spPr>
    </xdr:pic>
  </etc:cellImage>
  <etc:cellImage>
    <xdr:pic>
      <xdr:nvPicPr>
        <xdr:cNvPr id="28" name="ID_0493DFC225D848F6AAB827D91C6B441C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555" y="25808940"/>
          <a:ext cx="720725" cy="659130"/>
        </a:xfrm>
        <a:prstGeom prst="rect">
          <a:avLst/>
        </a:prstGeom>
      </xdr:spPr>
    </xdr:pic>
  </etc:cellImage>
  <etc:cellImage>
    <xdr:pic>
      <xdr:nvPicPr>
        <xdr:cNvPr id="31" name="ID_5E73B43BD6DD4D258CE6B0A58F77C801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00" y="27345005"/>
          <a:ext cx="736600" cy="495300"/>
        </a:xfrm>
        <a:prstGeom prst="rect">
          <a:avLst/>
        </a:prstGeom>
      </xdr:spPr>
    </xdr:pic>
  </etc:cellImage>
  <etc:cellImage>
    <xdr:pic>
      <xdr:nvPicPr>
        <xdr:cNvPr id="58" name="ID_4E5E9312286B472BB52C7DBFFD55BBF9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970" y="108677075"/>
          <a:ext cx="1365885" cy="1033780"/>
        </a:xfrm>
        <a:prstGeom prst="rect">
          <a:avLst/>
        </a:prstGeom>
      </xdr:spPr>
    </xdr:pic>
  </etc:cellImage>
  <etc:cellImage>
    <xdr:pic>
      <xdr:nvPicPr>
        <xdr:cNvPr id="57" name="ID_CC555FCA865542A994BA8EEDA11D3FE9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4430" y="103701850"/>
          <a:ext cx="1370330" cy="1125855"/>
        </a:xfrm>
        <a:prstGeom prst="rect">
          <a:avLst/>
        </a:prstGeom>
      </xdr:spPr>
    </xdr:pic>
  </etc:cellImage>
  <etc:cellImage>
    <xdr:pic>
      <xdr:nvPicPr>
        <xdr:cNvPr id="61" name="ID_90D58538664740A0BE994D256042CCCB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395" y="112245775"/>
          <a:ext cx="1424305" cy="1120140"/>
        </a:xfrm>
        <a:prstGeom prst="rect">
          <a:avLst/>
        </a:prstGeom>
      </xdr:spPr>
    </xdr:pic>
  </etc:cellImage>
  <etc:cellImage>
    <xdr:pic>
      <xdr:nvPicPr>
        <xdr:cNvPr id="60" name="ID_4A86D6CCECDB40C1B24C0091160BA9CA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0660" y="107013375"/>
          <a:ext cx="737870" cy="1091565"/>
        </a:xfrm>
        <a:prstGeom prst="rect">
          <a:avLst/>
        </a:prstGeom>
      </xdr:spPr>
    </xdr:pic>
  </etc:cellImage>
  <etc:cellImage>
    <xdr:pic>
      <xdr:nvPicPr>
        <xdr:cNvPr id="59" name="ID_EF3672FF9D884363A865828F2B38258E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3035" y="105307765"/>
          <a:ext cx="832485" cy="1263650"/>
        </a:xfrm>
        <a:prstGeom prst="rect">
          <a:avLst/>
        </a:prstGeom>
      </xdr:spPr>
    </xdr:pic>
  </etc:cellImage>
  <etc:cellImage>
    <xdr:pic>
      <xdr:nvPicPr>
        <xdr:cNvPr id="62" name="ID_FB5A65D7562649D6B0399A622BA6D3FD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395" y="114134265"/>
          <a:ext cx="1425575" cy="1118235"/>
        </a:xfrm>
        <a:prstGeom prst="rect">
          <a:avLst/>
        </a:prstGeom>
      </xdr:spPr>
    </xdr:pic>
  </etc:cellImage>
  <etc:cellImage>
    <xdr:pic>
      <xdr:nvPicPr>
        <xdr:cNvPr id="63" name="ID_844A99ACB82C429CA757EBAAAF7673C6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70" y="110321725"/>
          <a:ext cx="1315720" cy="1173480"/>
        </a:xfrm>
        <a:prstGeom prst="rect">
          <a:avLst/>
        </a:prstGeom>
      </xdr:spPr>
    </xdr:pic>
  </etc:cellImage>
  <etc:cellImage>
    <xdr:pic>
      <xdr:nvPicPr>
        <xdr:cNvPr id="23" name="ID_DDC7CE8105EE44F8A5D693CFBA51074D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625" y="28287980"/>
          <a:ext cx="1124585" cy="675005"/>
        </a:xfrm>
        <a:prstGeom prst="rect">
          <a:avLst/>
        </a:prstGeom>
      </xdr:spPr>
    </xdr:pic>
  </etc:cellImage>
  <etc:cellImage>
    <xdr:pic>
      <xdr:nvPicPr>
        <xdr:cNvPr id="30" name="ID_F1B59CDE693D4123863C743B3FE9B593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6130" y="29196030"/>
          <a:ext cx="662940" cy="640080"/>
        </a:xfrm>
        <a:prstGeom prst="rect">
          <a:avLst/>
        </a:prstGeom>
      </xdr:spPr>
    </xdr:pic>
  </etc:cellImage>
  <etc:cellImage>
    <xdr:pic>
      <xdr:nvPicPr>
        <xdr:cNvPr id="32" name="ID_43D90E2282444CA5998DD75378538D0E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0420" y="30030420"/>
          <a:ext cx="595630" cy="598170"/>
        </a:xfrm>
        <a:prstGeom prst="rect">
          <a:avLst/>
        </a:prstGeom>
      </xdr:spPr>
    </xdr:pic>
  </etc:cellImage>
  <etc:cellImage>
    <xdr:pic>
      <xdr:nvPicPr>
        <xdr:cNvPr id="35" name="ID_E8CF3F96427D45949BC6F3FCB7D97123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5305" y="36141660"/>
          <a:ext cx="1164590" cy="611505"/>
        </a:xfrm>
        <a:prstGeom prst="rect">
          <a:avLst/>
        </a:prstGeom>
      </xdr:spPr>
    </xdr:pic>
  </etc:cellImage>
  <etc:cellImage>
    <xdr:pic>
      <xdr:nvPicPr>
        <xdr:cNvPr id="34" name="ID_4774A13504BC4CBD80114154BAF90E9F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7380" y="31580455"/>
          <a:ext cx="979805" cy="742315"/>
        </a:xfrm>
        <a:prstGeom prst="rect">
          <a:avLst/>
        </a:prstGeom>
      </xdr:spPr>
    </xdr:pic>
  </etc:cellImage>
  <etc:cellImage>
    <xdr:pic>
      <xdr:nvPicPr>
        <xdr:cNvPr id="40" name="ID_0F280A2562E3481EBC863A7FEB77BCAA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6750" y="35260915"/>
          <a:ext cx="902335" cy="535940"/>
        </a:xfrm>
        <a:prstGeom prst="rect">
          <a:avLst/>
        </a:prstGeom>
      </xdr:spPr>
    </xdr:pic>
  </etc:cellImage>
  <etc:cellImage>
    <xdr:pic>
      <xdr:nvPicPr>
        <xdr:cNvPr id="41" name="ID_D235E6BC4D424147A15213B791B58279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8040" y="33320355"/>
          <a:ext cx="579755" cy="758190"/>
        </a:xfrm>
        <a:prstGeom prst="rect">
          <a:avLst/>
        </a:prstGeom>
      </xdr:spPr>
    </xdr:pic>
  </etc:cellImage>
  <etc:cellImage>
    <xdr:pic>
      <xdr:nvPicPr>
        <xdr:cNvPr id="37" name="ID_162F8D895F254485BD032C5568B73293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3240" y="34367470"/>
          <a:ext cx="1189355" cy="540385"/>
        </a:xfrm>
        <a:prstGeom prst="rect">
          <a:avLst/>
        </a:prstGeom>
      </xdr:spPr>
    </xdr:pic>
  </etc:cellImage>
  <etc:cellImage>
    <xdr:pic>
      <xdr:nvPicPr>
        <xdr:cNvPr id="39" name="ID_554BDDDDEF9D42EAB18AC37E92295287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0" y="37006530"/>
          <a:ext cx="836930" cy="612140"/>
        </a:xfrm>
        <a:prstGeom prst="rect">
          <a:avLst/>
        </a:prstGeom>
      </xdr:spPr>
    </xdr:pic>
  </etc:cellImage>
  <etc:cellImage>
    <xdr:pic>
      <xdr:nvPicPr>
        <xdr:cNvPr id="33" name="ID_FD16B964D75140D0ADDC7A3E9CEDA1EC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3155" y="95171895"/>
          <a:ext cx="1454150" cy="931545"/>
        </a:xfrm>
        <a:prstGeom prst="rect">
          <a:avLst/>
        </a:prstGeom>
      </xdr:spPr>
    </xdr:pic>
  </etc:cellImage>
  <etc:cellImage>
    <xdr:pic>
      <xdr:nvPicPr>
        <xdr:cNvPr id="36" name="ID_E24B15A4F63347E58A2F09428F89058C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" y="101496495"/>
          <a:ext cx="1343025" cy="1461135"/>
        </a:xfrm>
        <a:prstGeom prst="rect">
          <a:avLst/>
        </a:prstGeom>
      </xdr:spPr>
    </xdr:pic>
  </etc:cellImage>
  <etc:cellImage>
    <xdr:pic>
      <xdr:nvPicPr>
        <xdr:cNvPr id="38" name="ID_BCCC0DBEA2A7403D9630BDE563F72E15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945" y="99868355"/>
          <a:ext cx="1257300" cy="1172210"/>
        </a:xfrm>
        <a:prstGeom prst="rect">
          <a:avLst/>
        </a:prstGeom>
      </xdr:spPr>
    </xdr:pic>
  </etc:cellImage>
  <etc:cellImage>
    <xdr:pic>
      <xdr:nvPicPr>
        <xdr:cNvPr id="42" name="ID_590E6F10CDA046E7A1207631BFCF1163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675" y="96702245"/>
          <a:ext cx="755015" cy="1251585"/>
        </a:xfrm>
        <a:prstGeom prst="rect">
          <a:avLst/>
        </a:prstGeom>
      </xdr:spPr>
    </xdr:pic>
  </etc:cellImage>
  <etc:cellImage>
    <xdr:pic>
      <xdr:nvPicPr>
        <xdr:cNvPr id="43" name="ID_FEDEB5221D814D5B9C798C1E50C06578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1775" y="98411030"/>
          <a:ext cx="675640" cy="899160"/>
        </a:xfrm>
        <a:prstGeom prst="rect">
          <a:avLst/>
        </a:prstGeom>
      </xdr:spPr>
    </xdr:pic>
  </etc:cellImage>
  <etc:cellImage>
    <xdr:pic>
      <xdr:nvPicPr>
        <xdr:cNvPr id="44" name="ID_1519A3BDB14D424A8E53F3C6CEEF2F52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620" y="38272085"/>
          <a:ext cx="1203960" cy="633730"/>
        </a:xfrm>
        <a:prstGeom prst="rect">
          <a:avLst/>
        </a:prstGeom>
      </xdr:spPr>
    </xdr:pic>
  </etc:cellImage>
  <etc:cellImage>
    <xdr:pic>
      <xdr:nvPicPr>
        <xdr:cNvPr id="45" name="ID_CA95FB3955A54369AB814C3BF07D73B1"/>
        <xdr:cNvPicPr>
          <a:picLocks noChangeAspect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4985" y="39456360"/>
          <a:ext cx="1205230" cy="532130"/>
        </a:xfrm>
        <a:prstGeom prst="rect">
          <a:avLst/>
        </a:prstGeom>
      </xdr:spPr>
    </xdr:pic>
  </etc:cellImage>
  <etc:cellImage>
    <xdr:pic>
      <xdr:nvPicPr>
        <xdr:cNvPr id="46" name="ID_EA72899651804638B842E751D8DBC467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7700" y="40419655"/>
          <a:ext cx="939800" cy="709930"/>
        </a:xfrm>
        <a:prstGeom prst="rect">
          <a:avLst/>
        </a:prstGeom>
      </xdr:spPr>
    </xdr:pic>
  </etc:cellImage>
  <etc:cellImage>
    <xdr:pic>
      <xdr:nvPicPr>
        <xdr:cNvPr id="51" name="ID_949CED0D68E9494BB65238DE97408E6A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710" y="45364400"/>
          <a:ext cx="527050" cy="591185"/>
        </a:xfrm>
        <a:prstGeom prst="rect">
          <a:avLst/>
        </a:prstGeom>
      </xdr:spPr>
    </xdr:pic>
  </etc:cellImage>
  <etc:cellImage>
    <xdr:pic>
      <xdr:nvPicPr>
        <xdr:cNvPr id="47" name="ID_6EA8A05AA8724A99A9C85EB239DEEF73"/>
        <xdr:cNvPicPr>
          <a:picLocks noChangeAspect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1540" y="44338875"/>
          <a:ext cx="452120" cy="818515"/>
        </a:xfrm>
        <a:prstGeom prst="rect">
          <a:avLst/>
        </a:prstGeom>
      </xdr:spPr>
    </xdr:pic>
  </etc:cellImage>
  <etc:cellImage>
    <xdr:pic>
      <xdr:nvPicPr>
        <xdr:cNvPr id="49" name="ID_64B88647BBE247098D06E0C2753AD67E"/>
        <xdr:cNvPicPr>
          <a:picLocks noChangeAspect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4870" y="41922065"/>
          <a:ext cx="506095" cy="781050"/>
        </a:xfrm>
        <a:prstGeom prst="rect">
          <a:avLst/>
        </a:prstGeom>
      </xdr:spPr>
    </xdr:pic>
  </etc:cellImage>
  <etc:cellImage>
    <xdr:pic>
      <xdr:nvPicPr>
        <xdr:cNvPr id="48" name="ID_89FFD8D4637D4ECCB398AF1C59B351BC"/>
        <xdr:cNvPicPr>
          <a:picLocks noChangeAspect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1190" y="43432095"/>
          <a:ext cx="971550" cy="675640"/>
        </a:xfrm>
        <a:prstGeom prst="rect">
          <a:avLst/>
        </a:prstGeom>
      </xdr:spPr>
    </xdr:pic>
  </etc:cellImage>
  <etc:cellImage>
    <xdr:pic>
      <xdr:nvPicPr>
        <xdr:cNvPr id="52" name="ID_E0E6702AF6164072B2835A9376EFCCAE"/>
        <xdr:cNvPicPr>
          <a:picLocks noChangeAspect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8040" y="46132750"/>
          <a:ext cx="579755" cy="777240"/>
        </a:xfrm>
        <a:prstGeom prst="rect">
          <a:avLst/>
        </a:prstGeom>
      </xdr:spPr>
    </xdr:pic>
  </etc:cellImage>
  <etc:cellImage>
    <xdr:pic>
      <xdr:nvPicPr>
        <xdr:cNvPr id="90" name="ID_54B60F202A354944B3F0AED20CA75F93"/>
        <xdr:cNvPicPr>
          <a:picLocks noChangeAspect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5550" y="67261105"/>
          <a:ext cx="1229360" cy="948055"/>
        </a:xfrm>
        <a:prstGeom prst="rect">
          <a:avLst/>
        </a:prstGeom>
      </xdr:spPr>
    </xdr:pic>
  </etc:cellImage>
  <etc:cellImage>
    <xdr:pic>
      <xdr:nvPicPr>
        <xdr:cNvPr id="91" name="ID_68204D9155CD4684BE71703C41494249"/>
        <xdr:cNvPicPr>
          <a:picLocks noChangeAspect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9152770"/>
          <a:ext cx="919480" cy="1379855"/>
        </a:xfrm>
        <a:prstGeom prst="rect">
          <a:avLst/>
        </a:prstGeom>
      </xdr:spPr>
    </xdr:pic>
  </etc:cellImage>
  <etc:cellImage>
    <xdr:pic>
      <xdr:nvPicPr>
        <xdr:cNvPr id="92" name="ID_47DC7A8132DB4A589D715B36BB8C70B7"/>
        <xdr:cNvPicPr>
          <a:picLocks noChangeAspect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1275" y="70958710"/>
          <a:ext cx="1056640" cy="993775"/>
        </a:xfrm>
        <a:prstGeom prst="rect">
          <a:avLst/>
        </a:prstGeom>
      </xdr:spPr>
    </xdr:pic>
  </etc:cellImage>
  <etc:cellImage>
    <xdr:pic>
      <xdr:nvPicPr>
        <xdr:cNvPr id="94" name="ID_6C1B24E15BF44D56928F5B172B1AF163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830" y="47256065"/>
          <a:ext cx="1146810" cy="577850"/>
        </a:xfrm>
        <a:prstGeom prst="rect">
          <a:avLst/>
        </a:prstGeom>
      </xdr:spPr>
    </xdr:pic>
  </etc:cellImage>
  <etc:cellImage>
    <xdr:pic>
      <xdr:nvPicPr>
        <xdr:cNvPr id="95" name="ID_302FB4AE5FDE4D1682E5141CB5365B29"/>
        <xdr:cNvPicPr>
          <a:picLocks noChangeAspect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2450" y="50421540"/>
          <a:ext cx="1130300" cy="549910"/>
        </a:xfrm>
        <a:prstGeom prst="rect">
          <a:avLst/>
        </a:prstGeom>
      </xdr:spPr>
    </xdr:pic>
  </etc:cellImage>
  <etc:cellImage>
    <xdr:pic>
      <xdr:nvPicPr>
        <xdr:cNvPr id="96" name="ID_5384451FD0F943C5921E2EDAA5A4F6CD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830" y="48052990"/>
          <a:ext cx="1146810" cy="577850"/>
        </a:xfrm>
        <a:prstGeom prst="rect">
          <a:avLst/>
        </a:prstGeom>
      </xdr:spPr>
    </xdr:pic>
  </etc:cellImage>
  <etc:cellImage>
    <xdr:pic>
      <xdr:nvPicPr>
        <xdr:cNvPr id="97" name="ID_755C96FA54D543A6BB705AB14540DDBA"/>
        <xdr:cNvPicPr>
          <a:picLocks noChangeAspect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2450" y="51716940"/>
          <a:ext cx="1130300" cy="549275"/>
        </a:xfrm>
        <a:prstGeom prst="rect">
          <a:avLst/>
        </a:prstGeom>
      </xdr:spPr>
    </xdr:pic>
  </etc:cellImage>
  <etc:cellImage>
    <xdr:pic>
      <xdr:nvPicPr>
        <xdr:cNvPr id="98" name="ID_83B2489083AA4767A426B9AD0833C176"/>
        <xdr:cNvPicPr>
          <a:picLocks noChangeAspect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6770" y="49030890"/>
          <a:ext cx="581660" cy="740410"/>
        </a:xfrm>
        <a:prstGeom prst="rect">
          <a:avLst/>
        </a:prstGeom>
      </xdr:spPr>
    </xdr:pic>
  </etc:cellImage>
  <etc:cellImage>
    <xdr:pic>
      <xdr:nvPicPr>
        <xdr:cNvPr id="99" name="ID_246F832CCAAB4DC59B631FE019A5B62A"/>
        <xdr:cNvPicPr>
          <a:picLocks noChangeAspect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8040" y="52684045"/>
          <a:ext cx="579755" cy="777240"/>
        </a:xfrm>
        <a:prstGeom prst="rect">
          <a:avLst/>
        </a:prstGeom>
      </xdr:spPr>
    </xdr:pic>
  </etc:cellImage>
  <etc:cellImage>
    <xdr:pic>
      <xdr:nvPicPr>
        <xdr:cNvPr id="100" name="ID_67969F64839D4703B13321454BB82153"/>
        <xdr:cNvPicPr>
          <a:picLocks noChangeAspect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4035" y="53729890"/>
          <a:ext cx="1167130" cy="684530"/>
        </a:xfrm>
        <a:prstGeom prst="rect">
          <a:avLst/>
        </a:prstGeom>
      </xdr:spPr>
    </xdr:pic>
  </etc:cellImage>
  <etc:cellImage>
    <xdr:pic>
      <xdr:nvPicPr>
        <xdr:cNvPr id="101" name="ID_C41CE0D020584A6EA1761F127C1D3085"/>
        <xdr:cNvPicPr>
          <a:picLocks noChangeAspect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580" y="54691280"/>
          <a:ext cx="1081405" cy="590550"/>
        </a:xfrm>
        <a:prstGeom prst="rect">
          <a:avLst/>
        </a:prstGeom>
      </xdr:spPr>
    </xdr:pic>
  </etc:cellImage>
  <etc:cellImage>
    <xdr:pic>
      <xdr:nvPicPr>
        <xdr:cNvPr id="102" name="ID_B93735FAC6F54A2880FEDE5411AEEAFC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3085" y="55457090"/>
          <a:ext cx="1127760" cy="728980"/>
        </a:xfrm>
        <a:prstGeom prst="rect">
          <a:avLst/>
        </a:prstGeom>
      </xdr:spPr>
    </xdr:pic>
  </etc:cellImage>
  <etc:cellImage>
    <xdr:pic>
      <xdr:nvPicPr>
        <xdr:cNvPr id="103" name="ID_08BC7D64F96243859A537AA4052F805E"/>
        <xdr:cNvPicPr>
          <a:picLocks noChangeAspect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580" y="56401970"/>
          <a:ext cx="1081405" cy="590550"/>
        </a:xfrm>
        <a:prstGeom prst="rect">
          <a:avLst/>
        </a:prstGeom>
      </xdr:spPr>
    </xdr:pic>
  </etc:cellImage>
  <etc:cellImage>
    <xdr:pic>
      <xdr:nvPicPr>
        <xdr:cNvPr id="104" name="ID_136F7DC2AD1F4FFA9EC55EFE7BBA1AF0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920" y="57223660"/>
          <a:ext cx="1229360" cy="698500"/>
        </a:xfrm>
        <a:prstGeom prst="rect">
          <a:avLst/>
        </a:prstGeom>
      </xdr:spPr>
    </xdr:pic>
  </etc:cellImage>
  <etc:cellImage>
    <xdr:pic>
      <xdr:nvPicPr>
        <xdr:cNvPr id="105" name="ID_FA5BCFE7A08B48A8867525E5E15912DC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920" y="58195210"/>
          <a:ext cx="1229995" cy="698500"/>
        </a:xfrm>
        <a:prstGeom prst="rect">
          <a:avLst/>
        </a:prstGeom>
      </xdr:spPr>
    </xdr:pic>
  </etc:cellImage>
  <etc:cellImage>
    <xdr:pic>
      <xdr:nvPicPr>
        <xdr:cNvPr id="106" name="ID_57D99CFA74E84E6A9D38DD4F91BED37F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6130" y="59211845"/>
          <a:ext cx="662940" cy="771525"/>
        </a:xfrm>
        <a:prstGeom prst="rect">
          <a:avLst/>
        </a:prstGeom>
      </xdr:spPr>
    </xdr:pic>
  </etc:cellImage>
  <etc:cellImage>
    <xdr:pic>
      <xdr:nvPicPr>
        <xdr:cNvPr id="107" name="ID_09019C7E766D41EEB4C22FE49A28E410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8030" y="60398025"/>
          <a:ext cx="737870" cy="827405"/>
        </a:xfrm>
        <a:prstGeom prst="rect">
          <a:avLst/>
        </a:prstGeom>
      </xdr:spPr>
    </xdr:pic>
  </etc:cellImage>
  <etc:cellImage>
    <xdr:pic>
      <xdr:nvPicPr>
        <xdr:cNvPr id="108" name="ID_36FDF7EAFBA74705BA685380A9E5C7B9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270" y="6927850"/>
          <a:ext cx="1348740" cy="1045210"/>
        </a:xfrm>
        <a:prstGeom prst="rect">
          <a:avLst/>
        </a:prstGeom>
      </xdr:spPr>
    </xdr:pic>
  </etc:cellImage>
  <etc:cellImage>
    <xdr:pic>
      <xdr:nvPicPr>
        <xdr:cNvPr id="109" name="ID_DA69EFE9C61C4054861763F2B1A43DE4"/>
        <xdr:cNvPicPr>
          <a:picLocks noChangeAspect="1"/>
        </xdr:cNvPicPr>
      </xdr:nvPicPr>
      <xdr:blipFill>
        <a:blip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6050" y="3361055"/>
          <a:ext cx="847725" cy="1310640"/>
        </a:xfrm>
        <a:prstGeom prst="rect">
          <a:avLst/>
        </a:prstGeom>
      </xdr:spPr>
    </xdr:pic>
  </etc:cellImage>
  <etc:cellImage>
    <xdr:pic>
      <xdr:nvPicPr>
        <xdr:cNvPr id="110" name="ID_B03600B2CE59458B9F8BD861F11DF4F5"/>
        <xdr:cNvPicPr>
          <a:picLocks noChangeAspect="1"/>
        </xdr:cNvPicPr>
      </xdr:nvPicPr>
      <xdr:blipFill>
        <a:blip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970" y="1782445"/>
          <a:ext cx="1365885" cy="1076325"/>
        </a:xfrm>
        <a:prstGeom prst="rect">
          <a:avLst/>
        </a:prstGeom>
      </xdr:spPr>
    </xdr:pic>
  </etc:cellImage>
  <etc:cellImage>
    <xdr:pic>
      <xdr:nvPicPr>
        <xdr:cNvPr id="111" name="ID_B3633DB99DA94034BE8BC6FAD493BDE6"/>
        <xdr:cNvPicPr>
          <a:picLocks noChangeAspect="1"/>
        </xdr:cNvPicPr>
      </xdr:nvPicPr>
      <xdr:blipFill>
        <a:blip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5" y="5052695"/>
          <a:ext cx="1222375" cy="1462405"/>
        </a:xfrm>
        <a:prstGeom prst="rect">
          <a:avLst/>
        </a:prstGeom>
      </xdr:spPr>
    </xdr:pic>
  </etc:cellImage>
  <etc:cellImage>
    <xdr:pic>
      <xdr:nvPicPr>
        <xdr:cNvPr id="112" name="ID_DAD4925C54EC464E874810237DFD168D"/>
        <xdr:cNvPicPr>
          <a:picLocks noChangeAspect="1"/>
        </xdr:cNvPicPr>
      </xdr:nvPicPr>
      <xdr:blipFill>
        <a:blip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950" y="8627110"/>
          <a:ext cx="923925" cy="1243330"/>
        </a:xfrm>
        <a:prstGeom prst="rect">
          <a:avLst/>
        </a:prstGeom>
      </xdr:spPr>
    </xdr:pic>
  </etc:cellImage>
  <etc:cellImage>
    <xdr:pic>
      <xdr:nvPicPr>
        <xdr:cNvPr id="113" name="ID_BCCB40625A39475B80E3270BCC001F0D"/>
        <xdr:cNvPicPr>
          <a:picLocks noChangeAspect="1"/>
        </xdr:cNvPicPr>
      </xdr:nvPicPr>
      <xdr:blipFill>
        <a:blip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980" y="48756570"/>
          <a:ext cx="1458595" cy="1003300"/>
        </a:xfrm>
        <a:prstGeom prst="rect">
          <a:avLst/>
        </a:prstGeom>
      </xdr:spPr>
    </xdr:pic>
  </etc:cellImage>
  <etc:cellImage>
    <xdr:pic>
      <xdr:nvPicPr>
        <xdr:cNvPr id="114" name="ID_685563378A3842729969DFE66649A607"/>
        <xdr:cNvPicPr>
          <a:picLocks noChangeAspect="1"/>
        </xdr:cNvPicPr>
      </xdr:nvPicPr>
      <xdr:blipFill>
        <a:blip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370" y="50233580"/>
          <a:ext cx="1061085" cy="1400810"/>
        </a:xfrm>
        <a:prstGeom prst="rect">
          <a:avLst/>
        </a:prstGeom>
      </xdr:spPr>
    </xdr:pic>
  </etc:cellImage>
  <etc:cellImage>
    <xdr:pic>
      <xdr:nvPicPr>
        <xdr:cNvPr id="115" name="ID_BF25884A2A364EF3AE4B6A160855938E"/>
        <xdr:cNvPicPr>
          <a:picLocks noChangeAspect="1"/>
        </xdr:cNvPicPr>
      </xdr:nvPicPr>
      <xdr:blipFill>
        <a:blip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1925" y="54079140"/>
          <a:ext cx="815340" cy="1130935"/>
        </a:xfrm>
        <a:prstGeom prst="rect">
          <a:avLst/>
        </a:prstGeom>
      </xdr:spPr>
    </xdr:pic>
  </etc:cellImage>
  <etc:cellImage>
    <xdr:pic>
      <xdr:nvPicPr>
        <xdr:cNvPr id="116" name="ID_871D21583A504E9F9CF80397DEE9D018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950" y="52383690"/>
          <a:ext cx="1176655" cy="1287780"/>
        </a:xfrm>
        <a:prstGeom prst="rect">
          <a:avLst/>
        </a:prstGeom>
      </xdr:spPr>
    </xdr:pic>
  </etc:cellImage>
  <etc:cellImage>
    <xdr:pic>
      <xdr:nvPicPr>
        <xdr:cNvPr id="117" name="ID_29F2B250C4C24DF3A7DCD589E883856E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7530" y="61755655"/>
          <a:ext cx="1119505" cy="697230"/>
        </a:xfrm>
        <a:prstGeom prst="rect">
          <a:avLst/>
        </a:prstGeom>
      </xdr:spPr>
    </xdr:pic>
  </etc:cellImage>
  <etc:cellImage>
    <xdr:pic>
      <xdr:nvPicPr>
        <xdr:cNvPr id="118" name="ID_737F7C830EBB4B798A7D53E0EECD1707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6110" y="64529335"/>
          <a:ext cx="983615" cy="640715"/>
        </a:xfrm>
        <a:prstGeom prst="rect">
          <a:avLst/>
        </a:prstGeom>
      </xdr:spPr>
    </xdr:pic>
  </etc:cellImage>
  <etc:cellImage>
    <xdr:pic>
      <xdr:nvPicPr>
        <xdr:cNvPr id="119" name="ID_F5D4DBF2BA834C94A0C647A7E8A5F602"/>
        <xdr:cNvPicPr>
          <a:picLocks noChangeAspect="1"/>
        </xdr:cNvPicPr>
      </xdr:nvPicPr>
      <xdr:blipFill>
        <a:blip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7530" y="62744985"/>
          <a:ext cx="1119505" cy="501015"/>
        </a:xfrm>
        <a:prstGeom prst="rect">
          <a:avLst/>
        </a:prstGeom>
      </xdr:spPr>
    </xdr:pic>
  </etc:cellImage>
  <etc:cellImage>
    <xdr:pic>
      <xdr:nvPicPr>
        <xdr:cNvPr id="120" name="ID_9A920A5A59B948E985EFDFD0DC23B02B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5970" y="63605410"/>
          <a:ext cx="685165" cy="635000"/>
        </a:xfrm>
        <a:prstGeom prst="rect">
          <a:avLst/>
        </a:prstGeom>
      </xdr:spPr>
    </xdr:pic>
  </etc:cellImage>
  <etc:cellImage>
    <xdr:pic>
      <xdr:nvPicPr>
        <xdr:cNvPr id="121" name="ID_A023609E2F14444095A1F7895A79E209"/>
        <xdr:cNvPicPr>
          <a:picLocks noChangeAspect="1"/>
        </xdr:cNvPicPr>
      </xdr:nvPicPr>
      <xdr:blipFill>
        <a:blip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810" y="65502790"/>
          <a:ext cx="450850" cy="459105"/>
        </a:xfrm>
        <a:prstGeom prst="rect">
          <a:avLst/>
        </a:prstGeom>
      </xdr:spPr>
    </xdr:pic>
  </etc:cellImage>
  <etc:cellImage>
    <xdr:pic>
      <xdr:nvPicPr>
        <xdr:cNvPr id="128" name="ID_1160AE73EAEC4D1EB2ED865B67743C37"/>
        <xdr:cNvPicPr>
          <a:picLocks noChangeAspect="1"/>
        </xdr:cNvPicPr>
      </xdr:nvPicPr>
      <xdr:blipFill>
        <a:blip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120" y="72581770"/>
          <a:ext cx="1251585" cy="1374775"/>
        </a:xfrm>
        <a:prstGeom prst="rect">
          <a:avLst/>
        </a:prstGeom>
      </xdr:spPr>
    </xdr:pic>
  </etc:cellImage>
  <etc:cellImage>
    <xdr:pic>
      <xdr:nvPicPr>
        <xdr:cNvPr id="129" name="ID_A634852F2C8B4A1FB037CD35326DBDED"/>
        <xdr:cNvPicPr>
          <a:picLocks noChangeAspect="1"/>
        </xdr:cNvPicPr>
      </xdr:nvPicPr>
      <xdr:blipFill>
        <a:blip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120" y="74175620"/>
          <a:ext cx="1251585" cy="1374775"/>
        </a:xfrm>
        <a:prstGeom prst="rect">
          <a:avLst/>
        </a:prstGeom>
      </xdr:spPr>
    </xdr:pic>
  </etc:cellImage>
  <etc:cellImage>
    <xdr:pic>
      <xdr:nvPicPr>
        <xdr:cNvPr id="130" name="ID_950A3C1F4AA74FAA8D2A6C06FF5BA978"/>
        <xdr:cNvPicPr>
          <a:picLocks noChangeAspect="1"/>
        </xdr:cNvPicPr>
      </xdr:nvPicPr>
      <xdr:blipFill>
        <a:blip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145" y="12598400"/>
          <a:ext cx="1360805" cy="908685"/>
        </a:xfrm>
        <a:prstGeom prst="rect">
          <a:avLst/>
        </a:prstGeom>
      </xdr:spPr>
    </xdr:pic>
  </etc:cellImage>
  <etc:cellImage>
    <xdr:pic>
      <xdr:nvPicPr>
        <xdr:cNvPr id="131" name="ID_0550517128844CD280E32799DD8DD7F6"/>
        <xdr:cNvPicPr>
          <a:picLocks noChangeAspect="1"/>
        </xdr:cNvPicPr>
      </xdr:nvPicPr>
      <xdr:blipFill>
        <a:blip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5545" y="11003280"/>
          <a:ext cx="1309370" cy="661670"/>
        </a:xfrm>
        <a:prstGeom prst="rect">
          <a:avLst/>
        </a:prstGeom>
      </xdr:spPr>
    </xdr:pic>
  </etc:cellImage>
  <etc:cellImage>
    <xdr:pic>
      <xdr:nvPicPr>
        <xdr:cNvPr id="132" name="ID_71E83DBAD64D416DB414F92662099F9A"/>
        <xdr:cNvPicPr>
          <a:picLocks noChangeAspect="1"/>
        </xdr:cNvPicPr>
      </xdr:nvPicPr>
      <xdr:blipFill>
        <a:blip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885" y="15546070"/>
          <a:ext cx="1455420" cy="1589405"/>
        </a:xfrm>
        <a:prstGeom prst="rect">
          <a:avLst/>
        </a:prstGeom>
      </xdr:spPr>
    </xdr:pic>
  </etc:cellImage>
  <etc:cellImage>
    <xdr:pic>
      <xdr:nvPicPr>
        <xdr:cNvPr id="133" name="ID_1D4E36286E0047B2B2EEB2C4581EE748"/>
        <xdr:cNvPicPr>
          <a:picLocks noChangeAspect="1"/>
        </xdr:cNvPicPr>
      </xdr:nvPicPr>
      <xdr:blipFill>
        <a:blip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145" y="13854430"/>
          <a:ext cx="1360805" cy="908685"/>
        </a:xfrm>
        <a:prstGeom prst="rect">
          <a:avLst/>
        </a:prstGeom>
      </xdr:spPr>
    </xdr:pic>
  </etc:cellImage>
  <etc:cellImage>
    <xdr:pic>
      <xdr:nvPicPr>
        <xdr:cNvPr id="134" name="ID_9D2912C81F674DCA9F5286F4D4867ED1"/>
        <xdr:cNvPicPr>
          <a:picLocks noChangeAspect="1"/>
        </xdr:cNvPicPr>
      </xdr:nvPicPr>
      <xdr:blipFill>
        <a:blip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495" y="18712815"/>
          <a:ext cx="1348105" cy="830580"/>
        </a:xfrm>
        <a:prstGeom prst="rect">
          <a:avLst/>
        </a:prstGeom>
      </xdr:spPr>
    </xdr:pic>
  </etc:cellImage>
  <etc:cellImage>
    <xdr:pic>
      <xdr:nvPicPr>
        <xdr:cNvPr id="135" name="ID_40B4C62FE5244EB384F44C28F60642E3"/>
        <xdr:cNvPicPr>
          <a:picLocks noChangeAspect="1"/>
        </xdr:cNvPicPr>
      </xdr:nvPicPr>
      <xdr:blipFill>
        <a:blip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745" y="20593050"/>
          <a:ext cx="1409700" cy="868680"/>
        </a:xfrm>
        <a:prstGeom prst="rect">
          <a:avLst/>
        </a:prstGeom>
      </xdr:spPr>
    </xdr:pic>
  </etc:cellImage>
  <etc:cellImage>
    <xdr:pic>
      <xdr:nvPicPr>
        <xdr:cNvPr id="136" name="ID_EDC6F014BB1046C691E03F9500A5391E"/>
        <xdr:cNvPicPr>
          <a:picLocks noChangeAspect="1"/>
        </xdr:cNvPicPr>
      </xdr:nvPicPr>
      <xdr:blipFill>
        <a:blip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9780" y="71360665"/>
          <a:ext cx="675005" cy="751205"/>
        </a:xfrm>
        <a:prstGeom prst="rect">
          <a:avLst/>
        </a:prstGeom>
      </xdr:spPr>
    </xdr:pic>
  </etc:cellImage>
  <etc:cellImage>
    <xdr:pic>
      <xdr:nvPicPr>
        <xdr:cNvPr id="137" name="ID_251D7462A81547FB8C85F8F3CDE32BA8"/>
        <xdr:cNvPicPr>
          <a:picLocks noChangeAspect="1"/>
        </xdr:cNvPicPr>
      </xdr:nvPicPr>
      <xdr:blipFill>
        <a:blip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9610" y="66433065"/>
          <a:ext cx="855345" cy="644525"/>
        </a:xfrm>
        <a:prstGeom prst="rect">
          <a:avLst/>
        </a:prstGeom>
      </xdr:spPr>
    </xdr:pic>
  </etc:cellImage>
  <etc:cellImage>
    <xdr:pic>
      <xdr:nvPicPr>
        <xdr:cNvPr id="138" name="ID_F3C31F9317BD4DCF99E88AB6F00FCAB7"/>
        <xdr:cNvPicPr>
          <a:picLocks noChangeAspect="1"/>
        </xdr:cNvPicPr>
      </xdr:nvPicPr>
      <xdr:blipFill>
        <a:blip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67197605"/>
          <a:ext cx="946785" cy="840105"/>
        </a:xfrm>
        <a:prstGeom prst="rect">
          <a:avLst/>
        </a:prstGeom>
      </xdr:spPr>
    </xdr:pic>
  </etc:cellImage>
  <etc:cellImage>
    <xdr:pic>
      <xdr:nvPicPr>
        <xdr:cNvPr id="139" name="ID_D7CCCE04CCB64EF5B1B3B77879E7D831"/>
        <xdr:cNvPicPr>
          <a:picLocks noChangeAspect="1"/>
        </xdr:cNvPicPr>
      </xdr:nvPicPr>
      <xdr:blipFill>
        <a:blip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285" y="72770365"/>
          <a:ext cx="1236980" cy="288925"/>
        </a:xfrm>
        <a:prstGeom prst="rect">
          <a:avLst/>
        </a:prstGeom>
      </xdr:spPr>
    </xdr:pic>
  </etc:cellImage>
  <etc:cellImage>
    <xdr:pic>
      <xdr:nvPicPr>
        <xdr:cNvPr id="140" name="ID_B4356DFA361343929182C190331BB41B"/>
        <xdr:cNvPicPr>
          <a:picLocks noChangeAspect="1"/>
        </xdr:cNvPicPr>
      </xdr:nvPicPr>
      <xdr:blipFill>
        <a:blip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2645" y="68214875"/>
          <a:ext cx="550545" cy="567055"/>
        </a:xfrm>
        <a:prstGeom prst="rect">
          <a:avLst/>
        </a:prstGeom>
      </xdr:spPr>
    </xdr:pic>
  </etc:cellImage>
  <etc:cellImage>
    <xdr:pic>
      <xdr:nvPicPr>
        <xdr:cNvPr id="141" name="ID_B49AC095CCF945C0ABF2DCE986C5AB60"/>
        <xdr:cNvPicPr>
          <a:picLocks noChangeAspect="1"/>
        </xdr:cNvPicPr>
      </xdr:nvPicPr>
      <xdr:blipFill>
        <a:blip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2450" y="69482970"/>
          <a:ext cx="1130300" cy="783590"/>
        </a:xfrm>
        <a:prstGeom prst="rect">
          <a:avLst/>
        </a:prstGeom>
      </xdr:spPr>
    </xdr:pic>
  </etc:cellImage>
  <etc:cellImage>
    <xdr:pic>
      <xdr:nvPicPr>
        <xdr:cNvPr id="142" name="ID_06FEB9CC96A244BB91FCFFA3E3EA1F67"/>
        <xdr:cNvPicPr>
          <a:picLocks noChangeAspect="1"/>
        </xdr:cNvPicPr>
      </xdr:nvPicPr>
      <xdr:blipFill>
        <a:blip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285" y="73502520"/>
          <a:ext cx="1236980" cy="242570"/>
        </a:xfrm>
        <a:prstGeom prst="rect">
          <a:avLst/>
        </a:prstGeom>
      </xdr:spPr>
    </xdr:pic>
  </etc:cellImage>
  <etc:cellImage>
    <xdr:pic>
      <xdr:nvPicPr>
        <xdr:cNvPr id="143" name="ID_45165D7339C24B2ABD4D0AC02E2B1DB0"/>
        <xdr:cNvPicPr>
          <a:picLocks noChangeAspect="1"/>
        </xdr:cNvPicPr>
      </xdr:nvPicPr>
      <xdr:blipFill>
        <a:blip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3440" y="74115930"/>
          <a:ext cx="528320" cy="242570"/>
        </a:xfrm>
        <a:prstGeom prst="rect">
          <a:avLst/>
        </a:prstGeom>
      </xdr:spPr>
    </xdr:pic>
  </etc:cellImage>
  <etc:cellImage>
    <xdr:pic>
      <xdr:nvPicPr>
        <xdr:cNvPr id="144" name="ID_69BEDB49A42B471FB9A9A1C7C6B097BD"/>
        <xdr:cNvPicPr>
          <a:picLocks noChangeAspect="1"/>
        </xdr:cNvPicPr>
      </xdr:nvPicPr>
      <xdr:blipFill>
        <a:blip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0865" y="74719815"/>
          <a:ext cx="1092200" cy="412750"/>
        </a:xfrm>
        <a:prstGeom prst="rect">
          <a:avLst/>
        </a:prstGeom>
      </xdr:spPr>
    </xdr:pic>
  </etc:cellImage>
  <etc:cellImage>
    <xdr:pic>
      <xdr:nvPicPr>
        <xdr:cNvPr id="145" name="ID_F4BCF1DC25D64E96B0B45C071F6DAA65"/>
        <xdr:cNvPicPr>
          <a:picLocks noChangeAspect="1"/>
        </xdr:cNvPicPr>
      </xdr:nvPicPr>
      <xdr:blipFill>
        <a:blip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1845" y="75400535"/>
          <a:ext cx="651510" cy="687070"/>
        </a:xfrm>
        <a:prstGeom prst="rect">
          <a:avLst/>
        </a:prstGeom>
      </xdr:spPr>
    </xdr:pic>
  </etc:cellImage>
  <etc:cellImage>
    <xdr:pic>
      <xdr:nvPicPr>
        <xdr:cNvPr id="146" name="ID_5CF207C817644052812035A97E80030C"/>
        <xdr:cNvPicPr>
          <a:picLocks noChangeAspect="1"/>
        </xdr:cNvPicPr>
      </xdr:nvPicPr>
      <xdr:blipFill>
        <a:blip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2615" y="76336525"/>
          <a:ext cx="1029970" cy="452120"/>
        </a:xfrm>
        <a:prstGeom prst="rect">
          <a:avLst/>
        </a:prstGeom>
      </xdr:spPr>
    </xdr:pic>
  </etc:cellImage>
  <etc:cellImage>
    <xdr:pic>
      <xdr:nvPicPr>
        <xdr:cNvPr id="147" name="ID_7DF4CD146A2F4A85A3ACC3DF2542BD3A"/>
        <xdr:cNvPicPr>
          <a:picLocks noChangeAspect="1"/>
        </xdr:cNvPicPr>
      </xdr:nvPicPr>
      <xdr:blipFill>
        <a:blip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0" y="77069315"/>
          <a:ext cx="812165" cy="578485"/>
        </a:xfrm>
        <a:prstGeom prst="rect">
          <a:avLst/>
        </a:prstGeom>
      </xdr:spPr>
    </xdr:pic>
  </etc:cellImage>
  <etc:cellImage>
    <xdr:pic>
      <xdr:nvPicPr>
        <xdr:cNvPr id="148" name="ID_F68810C176C74A6D8AA5F5BDCDB43C28"/>
        <xdr:cNvPicPr>
          <a:picLocks noChangeAspect="1"/>
        </xdr:cNvPicPr>
      </xdr:nvPicPr>
      <xdr:blipFill>
        <a:blip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2645" y="77866875"/>
          <a:ext cx="551180" cy="567055"/>
        </a:xfrm>
        <a:prstGeom prst="rect">
          <a:avLst/>
        </a:prstGeom>
      </xdr:spPr>
    </xdr:pic>
  </etc:cellImage>
  <etc:cellImage>
    <xdr:pic>
      <xdr:nvPicPr>
        <xdr:cNvPr id="149" name="ID_88E0BF13EB1B42509C64F8D30D3956BE"/>
        <xdr:cNvPicPr>
          <a:picLocks noChangeAspect="1"/>
        </xdr:cNvPicPr>
      </xdr:nvPicPr>
      <xdr:blipFill>
        <a:blip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710" y="76274295"/>
          <a:ext cx="1463675" cy="1252855"/>
        </a:xfrm>
        <a:prstGeom prst="rect">
          <a:avLst/>
        </a:prstGeom>
      </xdr:spPr>
    </xdr:pic>
  </etc:cellImage>
  <etc:cellImage>
    <xdr:pic>
      <xdr:nvPicPr>
        <xdr:cNvPr id="150" name="ID_591C615A8C554FDDA478939FE679520D"/>
        <xdr:cNvPicPr>
          <a:picLocks noChangeAspect="1"/>
        </xdr:cNvPicPr>
      </xdr:nvPicPr>
      <xdr:blipFill>
        <a:blip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710" y="78019910"/>
          <a:ext cx="1463675" cy="1252855"/>
        </a:xfrm>
        <a:prstGeom prst="rect">
          <a:avLst/>
        </a:prstGeom>
      </xdr:spPr>
    </xdr:pic>
  </etc:cellImage>
  <etc:cellImage>
    <xdr:pic>
      <xdr:nvPicPr>
        <xdr:cNvPr id="151" name="ID_57A5BDF33CFF41A8A4DE7B102D8F946D"/>
        <xdr:cNvPicPr>
          <a:picLocks noChangeAspect="1"/>
        </xdr:cNvPicPr>
      </xdr:nvPicPr>
      <xdr:blipFill>
        <a:blip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550" y="82783680"/>
          <a:ext cx="1490980" cy="619125"/>
        </a:xfrm>
        <a:prstGeom prst="rect">
          <a:avLst/>
        </a:prstGeom>
      </xdr:spPr>
    </xdr:pic>
  </etc:cellImage>
  <etc:cellImage>
    <xdr:pic>
      <xdr:nvPicPr>
        <xdr:cNvPr id="152" name="ID_51BE05DFDCD64E98BDD65A19319BA907"/>
        <xdr:cNvPicPr>
          <a:picLocks noChangeAspect="1"/>
        </xdr:cNvPicPr>
      </xdr:nvPicPr>
      <xdr:blipFill>
        <a:blip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030" y="81323815"/>
          <a:ext cx="1420495" cy="1151255"/>
        </a:xfrm>
        <a:prstGeom prst="rect">
          <a:avLst/>
        </a:prstGeom>
      </xdr:spPr>
    </xdr:pic>
  </etc:cellImage>
  <etc:cellImage>
    <xdr:pic>
      <xdr:nvPicPr>
        <xdr:cNvPr id="153" name="ID_142E69334750474DB02C9987B75CCBAE"/>
        <xdr:cNvPicPr>
          <a:picLocks noChangeAspect="1"/>
        </xdr:cNvPicPr>
      </xdr:nvPicPr>
      <xdr:blipFill>
        <a:blip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030" y="79750285"/>
          <a:ext cx="1420495" cy="1151255"/>
        </a:xfrm>
        <a:prstGeom prst="rect">
          <a:avLst/>
        </a:prstGeom>
      </xdr:spPr>
    </xdr:pic>
  </etc:cellImage>
  <etc:cellImage>
    <xdr:pic>
      <xdr:nvPicPr>
        <xdr:cNvPr id="154" name="ID_501BA3623F7143569D077BEB05A0601E"/>
        <xdr:cNvPicPr>
          <a:picLocks noChangeAspect="1"/>
        </xdr:cNvPicPr>
      </xdr:nvPicPr>
      <xdr:blipFill>
        <a:blip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930" y="84386420"/>
          <a:ext cx="1490980" cy="619125"/>
        </a:xfrm>
        <a:prstGeom prst="rect">
          <a:avLst/>
        </a:prstGeom>
      </xdr:spPr>
    </xdr:pic>
  </etc:cellImage>
  <etc:cellImage>
    <xdr:pic>
      <xdr:nvPicPr>
        <xdr:cNvPr id="155" name="ID_E4C367CE0EAF46FB946FF90EA7FD7310"/>
        <xdr:cNvPicPr>
          <a:picLocks noChangeAspect="1"/>
        </xdr:cNvPicPr>
      </xdr:nvPicPr>
      <xdr:blipFill>
        <a:blip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35724465"/>
          <a:ext cx="1470660" cy="1021080"/>
        </a:xfrm>
        <a:prstGeom prst="rect">
          <a:avLst/>
        </a:prstGeom>
      </xdr:spPr>
    </xdr:pic>
  </etc:cellImage>
  <etc:cellImage>
    <xdr:pic>
      <xdr:nvPicPr>
        <xdr:cNvPr id="156" name="ID_A829C8B40C964F99A3FBCA1F40B0D814"/>
        <xdr:cNvPicPr>
          <a:picLocks noChangeAspect="1"/>
        </xdr:cNvPicPr>
      </xdr:nvPicPr>
      <xdr:blipFill>
        <a:blip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975" y="33826450"/>
          <a:ext cx="1540510" cy="927100"/>
        </a:xfrm>
        <a:prstGeom prst="rect">
          <a:avLst/>
        </a:prstGeom>
      </xdr:spPr>
    </xdr:pic>
  </etc:cellImage>
  <etc:cellImage>
    <xdr:pic>
      <xdr:nvPicPr>
        <xdr:cNvPr id="157" name="ID_0EE4431A16E94AE7B6EE774B18213F5C"/>
        <xdr:cNvPicPr>
          <a:picLocks noChangeAspect="1"/>
        </xdr:cNvPicPr>
      </xdr:nvPicPr>
      <xdr:blipFill>
        <a:blip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995" y="39396035"/>
          <a:ext cx="1219200" cy="1270000"/>
        </a:xfrm>
        <a:prstGeom prst="rect">
          <a:avLst/>
        </a:prstGeom>
      </xdr:spPr>
    </xdr:pic>
  </etc:cellImage>
  <etc:cellImage>
    <xdr:pic>
      <xdr:nvPicPr>
        <xdr:cNvPr id="158" name="ID_EC48D5B18857423E80F7FCAB5476BFD6"/>
        <xdr:cNvPicPr>
          <a:picLocks noChangeAspect="1"/>
        </xdr:cNvPicPr>
      </xdr:nvPicPr>
      <xdr:blipFill>
        <a:blip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1275" y="37608510"/>
          <a:ext cx="1059180" cy="1137285"/>
        </a:xfrm>
        <a:prstGeom prst="rect">
          <a:avLst/>
        </a:prstGeom>
      </xdr:spPr>
    </xdr:pic>
  </etc:cellImage>
  <etc:cellImage>
    <xdr:pic>
      <xdr:nvPicPr>
        <xdr:cNvPr id="159" name="ID_B35EF19424124C578A502BC49DD9262D"/>
        <xdr:cNvPicPr>
          <a:picLocks noChangeAspect="1"/>
        </xdr:cNvPicPr>
      </xdr:nvPicPr>
      <xdr:blipFill>
        <a:blip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4360" y="78835885"/>
          <a:ext cx="1045845" cy="793750"/>
        </a:xfrm>
        <a:prstGeom prst="rect">
          <a:avLst/>
        </a:prstGeom>
      </xdr:spPr>
    </xdr:pic>
  </etc:cellImage>
  <etc:cellImage>
    <xdr:pic>
      <xdr:nvPicPr>
        <xdr:cNvPr id="160" name="ID_CCFDFF1F18074D30906C5721965E5388"/>
        <xdr:cNvPicPr>
          <a:picLocks noChangeAspect="1"/>
        </xdr:cNvPicPr>
      </xdr:nvPicPr>
      <xdr:blipFill>
        <a:blip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970" y="41543605"/>
          <a:ext cx="1367155" cy="1003935"/>
        </a:xfrm>
        <a:prstGeom prst="rect">
          <a:avLst/>
        </a:prstGeom>
      </xdr:spPr>
    </xdr:pic>
  </etc:cellImage>
  <etc:cellImage>
    <xdr:pic>
      <xdr:nvPicPr>
        <xdr:cNvPr id="161" name="ID_C92DC1B6D2FF4EC9B40DE6F2B37D023F"/>
        <xdr:cNvPicPr>
          <a:picLocks noChangeAspect="1"/>
        </xdr:cNvPicPr>
      </xdr:nvPicPr>
      <xdr:blipFill>
        <a:blip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150" y="42854880"/>
          <a:ext cx="771525" cy="798830"/>
        </a:xfrm>
        <a:prstGeom prst="rect">
          <a:avLst/>
        </a:prstGeom>
      </xdr:spPr>
    </xdr:pic>
  </etc:cellImage>
</etc:cellImage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<sst xmlns="http://schemas.openxmlformats.org/spreadsheetml/2006/main" count="1934" uniqueCount="502">
  <si>
    <t>单位一：福建丽景湾家具有限责任公司</t>
  </si>
  <si>
    <t>单位二：广东</t>
  </si>
  <si>
    <t>序号</t>
  </si>
  <si>
    <t>名称</t>
  </si>
  <si>
    <t>规格</t>
  </si>
  <si>
    <t>图片</t>
  </si>
  <si>
    <t>参数</t>
  </si>
  <si>
    <t>数量</t>
  </si>
  <si>
    <t>单位</t>
  </si>
  <si>
    <t>单价</t>
  </si>
  <si>
    <t>金额</t>
  </si>
  <si>
    <t>备注</t>
  </si>
  <si>
    <t>1、董事长办公室</t>
  </si>
  <si>
    <t>办公桌</t>
  </si>
  <si>
    <t>3200*1000*750</t>
  </si>
  <si>
    <t>1.面材：高档0.6mm木皮饰面，表面平整，纹理清晰
自然。
2.基材：采用E0级中纤板。
3.五金配件：采用进口五金配件。
4.油漆：环保水性漆，不含甲醛，三苯等有害有机溶
剂，安全环保，无毒无味。
配置电动升降圆桌。</t>
  </si>
  <si>
    <t>张</t>
  </si>
  <si>
    <t>班台</t>
  </si>
  <si>
    <t>3280*2500*750</t>
  </si>
  <si>
    <t>1. 基材：E1级或以上优质绿色环保型中密度纤维板， 甲醛释放量≤
0.05mg/m³ , 板材干燥处理至含水率小于8%，经高温防潮、防腐、防虫
处理，永久不变形；
2. 饰面：AAA级天然胡桃木皮贴面，厚度≥0.6mm，纹理清晰自然、色
泽一致、木孔分布均匀、表面平整光滑（无结、无水花、无夹皮） 、耐
磨性好（封边及收口：对应采用胡桃木，硬度高、韧性强）；
3. 油漆：采用优质聚脂漆，无苯，绿色环保，漆膜硬度≥3H。五底三
面八道工序，无气味、不变色，光滑耐磨；表面光亮平整、无颗粒、无
毒害、易清洁；采用高级环保胶粘剂，符合GB18580-2017标准和国家
环保标准。</t>
  </si>
  <si>
    <t>办公椅</t>
  </si>
  <si>
    <t>常规</t>
  </si>
  <si>
    <t>1.进口真皮面料座靠。
2.内置钢架+德国巴斯夫定型海绵80#密度，久坐不变
形。
3.升降、倾仰、多档锁定功能;倾仰力度均匀、座感柔
韧、弹力贴身、30万次严苛推背测试。
4.协强气压棒TUV4级，管壁厚度2.5mm
5.脚架为高标号铝材一次性成型，含碳含铅量更低，
环保标准、净亮度更高。静压测试1300KG以上。轮子
为尼龙+PU静音万向轮。</t>
  </si>
  <si>
    <t>大班椅</t>
  </si>
  <si>
    <t>标准</t>
  </si>
  <si>
    <t>1. 面料：采用优质环保牛皮面料；
2. 泡绵：优质无氟发泡高密度定型阻燃海绵，密度为35-45KG/立方，
回弹力：47%,软硬度适中；
3. 弹簧：高强度蛇形弹簧，强力织带橡筋；
4、气压棒：采用优质气杆，可承受850KG压力,升降轻便灵活、无漏气
、 无燥音，   重复升降48万次无故障，具有倾仰功能；
5、采用增强尼龙66%加23%的玻璃纤维注塑而成，在受压迫750磅下往
复10万次  不损坏， 间隙误差在1%毫米左右，脚轮转动平动轻快、灵
活、无破损、边接牢固，移动杂音小，耐磨性大,优质尼龙五星脚架。
6、双手柄多功能底盘（可多个角度锁定） 、可上下活动腰垫。</t>
  </si>
  <si>
    <t>班前椅</t>
  </si>
  <si>
    <t>1. 面料：采用优质环保超纤皮面料；
2. 泡绵：优质无氟发泡高密度定型阻燃海绵，密度为35-45KG/立方，
回弹力：47%,软硬度适中；
3. 弹簧：高强度蛇形弹簧，强力织带橡筋；
4、 弓形架：采用1.8厚冷轧钢支撑铁架，经过除锈、耐酸碱、防腐等特
殊处理，外层用静电无尘环保电镀（镀铬） ，并经高温及防刮花处理。
表面均匀光亮，色泽一致，严密、平整、无划伤， 附着力达到国家标准
。</t>
  </si>
  <si>
    <t>茶桌</t>
  </si>
  <si>
    <t>2400*900*740</t>
  </si>
  <si>
    <t>黑胡桃木+多层板贴黑胡桃木饰面。
配置茶盘。</t>
  </si>
  <si>
    <t>文件柜</t>
  </si>
  <si>
    <t>6700*400*2800</t>
  </si>
  <si>
    <t>椅子</t>
  </si>
  <si>
    <t>黑胡桃木+超纤皮</t>
  </si>
  <si>
    <t>2400*800*750</t>
  </si>
  <si>
    <t>1. 基材：E1级或以上优质绿色环保型多层实木板， 甲醛释放量≤
0.05mg/m³ , 板材干燥处理至含水率小于8%，经高温防潮、防腐、防虫
处理，永久不变形；
2. 饰面：AAA级天然胡桃木皮贴面，厚度≥0.6mm，纹理清晰自然、色
泽一致、木孔分布均匀、表面平整光滑（无结、无水花、无夹皮） 、耐
磨性好（封边及收口：对应采用胡桃木，硬度高、韧性强）；
3. 油漆：采用优质聚脂漆，无苯，绿色环保，漆膜硬度≥3H。五底三
面八道工序，无气味、不变色，光滑耐磨；表面光亮平整、无颗粒、无
毒害、易清洁；采用高级环保胶粘剂，符合GB18580-2017标准和国家
环保标准。</t>
  </si>
  <si>
    <t>烧水柜</t>
  </si>
  <si>
    <t>800*420*630</t>
  </si>
  <si>
    <t>黑胡桃木+多层板贴黑胡桃木饰面。
配置电磁炉。</t>
  </si>
  <si>
    <t>茶椅</t>
  </si>
  <si>
    <t>1、面料：采用优质环保布艺面料；
2、泡绵：优质无氟发泡高密度海绵，密度为35-45KG/立方， 回弹力：
47%,软硬度适中；
3、弹簧：高强度蛇形弹簧，强力织带橡筋；
4、油漆：底漆和面漆均采用聚酯漆 ，无苯、绿色环保,漆膜硬度≥2H
, 表面平整度≥0.1；
5、框架采用白蜡木实木，含水率8-10%,经干燥工艺处理，接口自然平
整.
6、胶水：采用环保白乳胶,产品符合国家环保检测标准</t>
  </si>
  <si>
    <t>沙发</t>
  </si>
  <si>
    <t>四人位</t>
  </si>
  <si>
    <t>1.面料：真皮面料座靠，防潮、防污处理。
2.海棉：采用使用高密度高弹力海绵，用抽纱或丝绒
覆面，表面有防腐化和防变型保护膜。
3.框架：采用实木内框架，高强度蛇型拉力筋结构，
4.钢制脚架。</t>
  </si>
  <si>
    <t>五人位
沙发</t>
  </si>
  <si>
    <t>3000*850*850</t>
  </si>
  <si>
    <t>1. 面料：采用优质仿真皮，经液体浸色及防潮、防污等工艺处理，使
皮面更加柔软舒适，光泽持久；
2. 泡绵：优质无氟发泡高密度定型阻燃海绵，密度为35-45KG/立方，
回弹力：47%,软硬度适中；
3. 弹簧：高强度蛇形弹簧，强力织带橡筋；
4. 油漆：底漆和面漆均采用亚光聚酯漆，无苯、绿色环保,漆膜硬度≥
2H ，表面平整度≥0.1，五底三面，十二道全封闭涂装,不变色、光滑
耐磨，符合E1级环保标准；
5. 沙发架采用1.2厚不锈钢支撑铁架，经过除锈、耐酸碱、防腐等特
殊处理，外层用静电无尘环保电镀（镀铬） ，并经高温及防刮花处理。
表面均匀光亮，色泽一致，严密、平整、无划伤， 附着力达到国家标准
。</t>
  </si>
  <si>
    <t>两人位</t>
  </si>
  <si>
    <t>三人位
沙发</t>
  </si>
  <si>
    <t>1850*850*850</t>
  </si>
  <si>
    <t>休闲沙发</t>
  </si>
  <si>
    <t>铝合金四星脚，采用使用高密度高弹力海绵，真皮面
料座靠。</t>
  </si>
  <si>
    <t>单人位
沙发</t>
  </si>
  <si>
    <t>茶几</t>
  </si>
  <si>
    <t>1500*750*450</t>
  </si>
  <si>
    <t>1.面材：高档0.6mm木皮饰面，表面平整，纹理清晰
自然。
2.基材：采用E0级中纤板。
3.五金配件：采用进口五金配件。
4.油漆：环保水性漆，不含甲醛，三苯等有害有机溶
剂，安全环保，无毒无味。</t>
  </si>
  <si>
    <t>10</t>
  </si>
  <si>
    <t>1200*1200*430</t>
  </si>
  <si>
    <t>600*600*450</t>
  </si>
  <si>
    <t>11</t>
  </si>
  <si>
    <t>边几</t>
  </si>
  <si>
    <t>650*650*500</t>
  </si>
  <si>
    <t>床</t>
  </si>
  <si>
    <t>1800*2000</t>
  </si>
  <si>
    <t>深灰真皮包边面料。</t>
  </si>
  <si>
    <t>12</t>
  </si>
  <si>
    <t>衣柜</t>
  </si>
  <si>
    <t>3500*600*2800</t>
  </si>
  <si>
    <t>1、面材：采用E1级环保刨花板基材，游离甲醛释放量为0.4mg/L以
内，密度为850kg/立方米，承重力强，稳定性好；
2、表面采用优质三聚氰胺板饰面，纹路清晰，符合国家E1级标准，经
过防虫、防腐化学处理，各项技术均达到国家标准，产品美观、无气味
、 不变色，光滑耐磨；表面光亮平整、无颗粒、无毒害、易清洁；采用
高级环保胶粘剂，符合GB18586-2001标准和国际环保标准；承重力
强，稳定性好。
3、封边采用2mm厚PVC封边，优质热熔胶，经自动调温热压机使板材粘
连无丝无缝，能长期不变形、不开裂；</t>
  </si>
  <si>
    <t>组</t>
  </si>
  <si>
    <t>床垫</t>
  </si>
  <si>
    <t>1800*2000*220</t>
  </si>
  <si>
    <t>3D浅灰色面料，吸湿排汗，干爽透气。
纤维棉高密度海棉垫层提供呵护及承托，采用锰钢钢
质弹簧。</t>
  </si>
  <si>
    <t>13</t>
  </si>
  <si>
    <t>储物柜</t>
  </si>
  <si>
    <t>1650*550*2800</t>
  </si>
  <si>
    <t>床头柜</t>
  </si>
  <si>
    <t>500*400*510</t>
  </si>
  <si>
    <t>钢制脚架，实木抽柜，岩板柜面。</t>
  </si>
  <si>
    <t>个</t>
  </si>
  <si>
    <t>1.8米床
、床垫</t>
  </si>
  <si>
    <t>1800*2000*1100</t>
  </si>
  <si>
    <t>1、面料：采用优质环保牛皮面料；
2、泡绵：优质无氟发泡高密度海绵，密度为35-45KG/立方， 回弹力：
47%,软硬度适中；
3、基材：采用防潮型E1级环保多层实木板,木材含水率10-12%，游离
甲醛释放量≤0.3mg/100g，经防潮、防虫、防腐处理，强度高、刚性
好、不变形；</t>
  </si>
  <si>
    <t>600*500*550</t>
  </si>
  <si>
    <t>2、总经理办公室</t>
  </si>
  <si>
    <t>W3200*D2326*H7
55</t>
  </si>
  <si>
    <t>1.基材：采用优质E0级中纤板；
2.油漆：台湾大宝水性净味漆；
3.面材：优质进口天然胡桃小山纹木皮半开放漆工艺
4.配置多功能升降架，胡桃木色，透明玻璃</t>
  </si>
  <si>
    <t>620-
710*710*1180-
1280</t>
  </si>
  <si>
    <t>.巴西进口头层黄牛皮饰面
.双层背弯板
.高弹力海绵
.铝合金扶手架连体扶手，配扪皮扶手面
.配4档倾仰锁定功能
.100#沉40mm电镀汽杆
.350铝合金脚
.60/25防震黑色PU轮</t>
  </si>
  <si>
    <t>620*710*1065-
1165</t>
  </si>
  <si>
    <t>生太皮面料。</t>
  </si>
  <si>
    <t>端景台</t>
  </si>
  <si>
    <t>1800*350*900</t>
  </si>
  <si>
    <t>3220*600*2800</t>
  </si>
  <si>
    <t>500*400*500</t>
  </si>
  <si>
    <t>生太皮面料+黑色玻璃柜面。</t>
  </si>
  <si>
    <t>14</t>
  </si>
  <si>
    <t>15</t>
  </si>
  <si>
    <t>3、总监办公室</t>
  </si>
  <si>
    <t/>
  </si>
  <si>
    <t>W2600*D1896*H7
50</t>
  </si>
  <si>
    <t>1.基材：采用优质E0级中纤板/刨花板；
2.面材：科技银檀309#木皮
(直纹)1分光封闭漆；
3.油漆：台湾大宝水性净味漆；
4.配件：OECZ076M-带黑色镜面滑盖</t>
  </si>
  <si>
    <t>2800*1700*750</t>
  </si>
  <si>
    <t>1.真皮面料座靠。
2.20MM厚双层弯板+舒适高级羽绒填充
3.气压棒为三泓同档次品牌 65#70mm电镀气杆
4.5档锁定逍遥功能高级大底盘
5.350#铝合金压铸五星脚
6.合成尼龙纤维树脂材料制成60mm防震静音轮</t>
  </si>
  <si>
    <t>班椅</t>
  </si>
  <si>
    <t>1.超纤皮面料座靠。
2.20MM厚双层弯板+舒适高级羽绒填充
3.气压棒为三泓同档次品牌 65#70mm电镀气杆
4.5档锁定逍遥功能高级大底盘
5.350#铝合金压铸五星脚
6.合成尼龙纤维树脂材料制成60mm防震静音轮</t>
  </si>
  <si>
    <t>三人位</t>
  </si>
  <si>
    <t>软包：优质西皮+高弹力海绵
框架：黑色五金沙发脚+木方夹板
脚架：黑色五金沙发脚、中脚</t>
  </si>
  <si>
    <t>4000*400*2400</t>
  </si>
  <si>
    <t>单人位沙发</t>
  </si>
  <si>
    <t>D720*W650*H760(
±10)MM</t>
  </si>
  <si>
    <t>·优质西皮面+切割绵
·电镀架+定型板
·连体铁架皮面固定扶手
·优质皮面+弯板椅座
·电镀椅架</t>
  </si>
  <si>
    <t>四人位
沙发</t>
  </si>
  <si>
    <t>2800*850*850</t>
  </si>
  <si>
    <t>长茶几</t>
  </si>
  <si>
    <t>W1500*D700*H42
0</t>
  </si>
  <si>
    <t>1.基材：采用优质E0级中纤板/刨花板；
2.面材：科技银檀309#木皮
(直纹)1分光封闭漆；
3.油漆：台湾大宝水性净味漆；</t>
  </si>
  <si>
    <t>2000*850*850</t>
  </si>
  <si>
    <t>方茶几</t>
  </si>
  <si>
    <t>W700*D700*H450</t>
  </si>
  <si>
    <t>1.基材：采用优质E0级中纤板/刨花板；
2.面材：科技银檀309#木皮
(直纹)1分光封闭漆；
2.油漆：台湾大宝水性净味漆；</t>
  </si>
  <si>
    <t>1800*1000*430</t>
  </si>
  <si>
    <t>4、财务经理/部门经理办公室</t>
  </si>
  <si>
    <t>W2200*D1800*H7
50</t>
  </si>
  <si>
    <t>1.基材：采用威利邦进口生产线E0级中密度纤维板；
2.吸塑工艺：进口新材料PMMA的新材料饰面；
3.五金：“FGV”牌 反弹导轨+“FGV”牌 缓冲门铰
+铝合金铸铝脚和台架，高端压铸散热网孔盖；
4.走线：副柜内部走线，内配80圆形过线盒，台面配
置压铸线盒；</t>
  </si>
  <si>
    <t>2000*1700*750</t>
  </si>
  <si>
    <t>W1600*D1600*H7
50</t>
  </si>
  <si>
    <t>背柜</t>
  </si>
  <si>
    <t>W2400*D400*H18
00</t>
  </si>
  <si>
    <t>1.基材：采用优质E0级刨花板
2.面材：双面高端耐磨、耐划痕、耐酸碱、耐烫、耐
污染饰面纸；
3.封边：采用优质PVC封边带；
4.配件：优质缓冲门铰。</t>
  </si>
  <si>
    <t>W1800*D400*H14
07</t>
  </si>
  <si>
    <t>1.基材：采用优质E0级刨花板
2.面材：双面高端耐磨、耐划痕、耐酸碱、耐烫、耐
污染饰面纸；
3.封边：采用优质PVC封边带；
4.配件：优质导轨及缓冲门铰。</t>
  </si>
  <si>
    <t>4000*400*2000</t>
  </si>
  <si>
    <t>1.头枕：全新尼龙加纤塑胶框架，可升降及角度调
节；
2.椅背：全新尼龙加纤塑胶，椅背可升降；
3.背支架：椅背支架为全新尼龙加纤塑胶材质；
4.腰枕：全新尼龙加纤塑胶框架，自动弹力调节腰
枕；
5.座垫：全新尼龙加纤塑胶框架，线控操作功能；
6.扶手：3DPU扶手，可高低升降、角度旋转及前后调
节；
7.底盘：多功能线控防爆底盘，可线控操作升降及倾
仰锁定
8.气杆：进口四级防爆气压棒；
9.椅脚：350mm铝合金脚，过BIFMA冲压静压测试；
10.椅轮：60mm PU静音防震椅轮；
11</t>
  </si>
  <si>
    <t>茶台椅</t>
  </si>
  <si>
    <t>2200*900*750
（一桌五椅）</t>
  </si>
  <si>
    <t>1、面材：采用优质科技木皮饰面 ;确保颜色和纹理一致后缝制，接口自
然平整；</t>
  </si>
  <si>
    <t xml:space="preserve">    .配置午休脚踏
1.优质办公网布饰面。
* 黑色PP+玻纤椅背。
* 黑色固定扶手。
* 高密度高回弹海绵（带底壳）。
* 黑色烤漆弓形架。</t>
  </si>
  <si>
    <t>2、框架 :采用白蜡木实木，含水率8-10%,经干燥工艺处理，接口自然
平整.</t>
  </si>
  <si>
    <t>靠背：优质西皮面+高弹力棉靠背
座垫：优质西皮面+高弹力棉座垫
扶手：优质西皮面+定型绵固定型扶手
框架：黑砂五金沙发脚+木方夹板
脚架：黑砂五金脚架</t>
  </si>
  <si>
    <t>3、基材：采用防潮型E1级环保多层板,木材含水率10-12%，游离甲醛
释放量≤0.3mg/100g；</t>
  </si>
  <si>
    <t>1200*600*450</t>
  </si>
  <si>
    <t>1.基材：采用优质E0级刨花板
2.面材：双面高端耐磨、耐划痕、耐酸碱、耐烫、耐
污染饰面纸；
3.封边：采用优质PVC封边带；
4.五金：全铝合金支撑架（铝材平均壁厚达1.6mm）
。</t>
  </si>
  <si>
    <t>4、油漆：所有木制部分表面采台湾"大宝"牌的环保水性油漆，均匀喷
涂封闭漆，5遍底漆，3遍面漆， 甲醛释放量符合国际E1标准；</t>
  </si>
  <si>
    <t>2000*800*750</t>
  </si>
  <si>
    <t>8MM肤感微晶石+E1级板材+火烧石茶盘+全太太烧
水电器，脚架：碳素钢喷涂工艺</t>
  </si>
  <si>
    <t>5、大理：  采用天然大理石。</t>
  </si>
  <si>
    <t>皮革座包+高密高回弹海绵</t>
  </si>
  <si>
    <t>5、开放办公区</t>
  </si>
  <si>
    <t>1450*1450*1100</t>
  </si>
  <si>
    <t>1.面材：德国夏特MFC贴面，符合国际环保标准，耐
磨、硬度高、防水、防污、耐高温、抗酸碱。
2.基材：采用E0级刨花板，甲醛释放量为5mg≤100g
。
3.封边：意大利全自动封边机，优质PVC封边。
4.屏风K3：铝合金边框，三胺板+三胺板+条纹玻璃
5.屏风K6：铝合金边框，走线槽+三胺板+三胺板。
6.采用木制板。</t>
  </si>
  <si>
    <t>位</t>
  </si>
  <si>
    <t>6人位屏
风卡位</t>
  </si>
  <si>
    <t>1500*1500*1200</t>
  </si>
  <si>
    <t>1、侧脚、台面面材：采用25MM厚E1级环保刨花板基材，游离甲醛释放
量为0.4mg/L以内，密度为850kg/立方米，承重力强，稳定性好；表面
采用优质三聚氰胺板饰面，纹路清晰，符合国家E1级标准，经过防虫、
防腐化学处理，各项技术均达到国家标准，产品美观、无气味、不变
色，光滑耐磨；表面光亮平整、无颗粒、无毒害、易清洁；采用高级环
保胶粘剂，符合GB18586-2001标准和国际环保标准；承重力强，稳定
性好。封边采用2mm厚PVC封边，优质热熔胶，经自动调温热压机使板
材粘连无丝无缝，能长期不变形、不开裂；
2、屏风铝材采用新达铝材型材制作边框，厚度40mm，采用铝合金型材
制作边框，厚度为≧1.2mm，  白色静电粉末喷涂。结构为： 台面300mm
高的条形磨沙玻璃带中杆设计，加强稳固性，屏风侧面采用三聚氰胺板
饰面，具有防污，防刮，防火等功能.
3、五金件：五金配件采用三节无声道轨， 门铰，锁具等。      4、屏
风配置：活动小柜、活动主机架和键盘各一个。</t>
  </si>
  <si>
    <t>套</t>
  </si>
  <si>
    <t>活动柜</t>
  </si>
  <si>
    <t>404*440D*59</t>
  </si>
  <si>
    <t>1.面材：德国夏特MFC贴面，符合国际环保标准，耐
磨、硬度高、防水、防污、耐高温、抗酸碱。
2.基材：采用E0级刨花板，甲醛释放量为5mg≤100g
。
3.封边：意大利全自动封边机，优质PVC封边。
4.优质五金配件。</t>
  </si>
  <si>
    <t>1. 覆面:采用品牌网布，经液体浸色及防潮、防污等工艺处理，使布面
更加柔软舒适，光泽持久；
2.海 绵:使用优质环保型高回弹PU泡棉，采用杜邦公司的PU成型发泡
高密度海绵,高密度高弹力45#海绵；坐垫速回弹率65%以上，靠背速回
弹率45%以上；无苯胶黏剂粘结；优质丝绵做填充， 内部衬垫物干燥卫
生、环保，表面涂有防止老化变形的保护膜；
3.扶手：优质PP料T型分体扶手；
4.靠背：黑色尼龙加玻纤背架，成型效果好，不易变形、开裂；符合人
体功能学座椅标准；
5.脚架：PP塑胶五星脚架，尼龙脚轮；</t>
  </si>
  <si>
    <t>1200*1202*750</t>
  </si>
  <si>
    <t>1.基材：采用优质E0级刨花板；
2.面材：双面高端耐磨、耐划痕、耐酸碱、耐烫、耐
污染饰面纸；
3.五金：钢制脚架带接头式设计；
4.配件：流星灰色椭圆形双边过线塑胶线盒+圆形密码
锁。
5.直边封边工艺</t>
  </si>
  <si>
    <t>矮柜</t>
  </si>
  <si>
    <t>800*400*800</t>
  </si>
  <si>
    <t>1.靠背：全新PP加纤注塑成型一体胶框
2.靠背：宽窄条尼龙网布，具有色彩鲜艳不褪色，韧
性抗拉性强，耐磨损，无毒，耐腐烂，耐化学品，耐
高温抗紫外线，透气性强，使用寿命长等特点
3.腰：背框中间融入仿龙骨腰靠，配有三档调节功能
整体外观更显得大气十足
4.椅座：海绵用5.5CM复合纯棉，45密50硬棉
5.气杆：通过SGS测试，高级100-60黑色气压棒，
100MM升降行程
6.椅脚：椅脚通过1136公斤静压测试，R340MM尼龙
脚
7.椅轮：PA料，万向转动流畅，灵便无噪音</t>
  </si>
  <si>
    <t>打印机
柜</t>
  </si>
  <si>
    <t>2150*450*2000</t>
  </si>
  <si>
    <t>文印间</t>
  </si>
  <si>
    <t>柜子</t>
  </si>
  <si>
    <t>1450*400*1150</t>
  </si>
  <si>
    <t>2795*450*2000</t>
  </si>
  <si>
    <t>800W*400D*1850
H</t>
  </si>
  <si>
    <t>钢柜采用一级冷轧钢板，运用阿克苏诺贝尔粉末，经
激光切割，数控折弯，水洗陶化，静电喷涂而成。
上节上节钢化玻璃门，内带二块层板，下节一块层板
可上下调节，优质五金配件，层板承重60KG。</t>
  </si>
  <si>
    <t>洽谈桌</t>
  </si>
  <si>
    <t>Ф800*H750</t>
  </si>
  <si>
    <t>1.基材：采用优质E0级刨花板/中纤板；
2.面材：灰丽斯三胺纸饰面
3.五金：钢制支撑架。</t>
  </si>
  <si>
    <t>洽谈椅</t>
  </si>
  <si>
    <t>1.优质办公网布饰面。
* 黑色PP+玻纤椅背。
* 黑色固定扶手。
* 高密度高回弹海绵（带底壳）。
* 黑色烤漆弓形架。</t>
  </si>
  <si>
    <t>6、会议室</t>
  </si>
  <si>
    <t>会议桌</t>
  </si>
  <si>
    <t>5500*1500*750</t>
  </si>
  <si>
    <t>1.基材：采用优质E0级中纤板/刨花板；
2.油漆：台湾大宝水性净味漆；
3.钢架：ML-66深空灰色金属支撑钢架；
4.配件：活动线盖板+多功能插座面板+圆形出线孔</t>
  </si>
  <si>
    <t>3F中会议室
*1、2F中会
议室*2</t>
  </si>
  <si>
    <t>主席桌</t>
  </si>
  <si>
    <t>4900*600*750</t>
  </si>
  <si>
    <t>1. 基材：E1级或以上优质绿色环保型中密度纤维板， 甲醛释放量≤
0.05mg/m³ , 板材干燥处理至含水率小于8%，经高温防潮、防腐、防虫
处理，永久不变形；
2. 饰面：AAA级天然胡桃木皮贴面，厚度≥0.6mm，纹理清晰自然、色
泽一致、木孔分布均匀、表面平整光滑（无结、无水花、无夹皮） 、耐
磨性好（封边及收口：对应采用胡桃木，硬度高、韧性强）；
3. 油漆：采用优质聚脂漆，无苯，绿色环保，漆膜硬度≥3H。五底三
面八道工序，无气味、不变色，光滑耐磨；表面光亮平整、无颗粒、无
毒害、易清洁；采用高级环保胶粘剂，符合GB18580-2017标准和国家
环保标准。
4、五金：采用缓冲门铰和三节无声道轨五金配件。</t>
  </si>
  <si>
    <t>大型会议室</t>
  </si>
  <si>
    <t>3800*1400*750</t>
  </si>
  <si>
    <t>3F小会议室
*1</t>
  </si>
  <si>
    <t>主席椅</t>
  </si>
  <si>
    <t>1. 面料：采用优质环保西皮面料；
2. 泡绵：优质无氟发泡高密度定型阻燃海绵，密度为35-45KG/立方，
回弹力：47%,软硬度适中；
3. 弹簧：高强度蛇形弹簧，强力织带橡筋；
4、 弓形架：采用1.8厚冷轧钢支撑铁架，经过除锈、耐酸碱、防腐等特
殊处理，外层用静电无尘环保电镀（镀铬） ，并经高温及防刮花处理。
表面均匀光亮，色泽一致，严密、平整、无划伤， 附着力达到国家标准
。</t>
  </si>
  <si>
    <t>会议椅</t>
  </si>
  <si>
    <t>1.皮面：优质耐磨硅胶纳帕纹西皮
2.椅身：中班靠背和坐垫采用高回弹无加粉定型海
棉，搭配IIE标准实木胶合板组合更加稳固延长使用寿
命
3.扶手：采用过测试PP料配高档技术喷枪色扶手支架
加配西皮面
4.脚架：Φ25管加套管优质电镀金属工型架过BIFMA
测试</t>
  </si>
  <si>
    <t>3F中会议室
、2F中会议
室</t>
  </si>
  <si>
    <t>条桌</t>
  </si>
  <si>
    <t>2100*450*750</t>
  </si>
  <si>
    <t>1、面材：采用E1级环保刨花板基材，游离甲醛释放量为0.4mg/L以
内，密度为850kg/立方米，承重力强，稳定性好；
2、表面采用优质三聚氰胺板饰面，纹路清晰，符合国家E1级标准，经
过防虫、防腐化学处理，各项技术均达到国家标准，产品美观、无气味
、 不变色，光滑耐磨；表面光亮平整、无颗粒、无毒害、易清洁；采用
高级环保胶粘剂，符合GB18586-2001标准和国际环保标准；承重力
强，稳定性好。
3、封边采用2mm厚PVC封边，优质热熔胶，经自动调温热压机使板材粘
连无丝无缝，能长期不变形、不开裂；
4、铁架：采用1.2厚冷轧钢支撑铁架，经过除锈、耐酸碱、防腐等特殊
处理，外层用静电无尘环保电镀（镀铬） ，并经高温及防刮花处理。表
面均匀光亮，色泽一致，严密、平整、无划伤， 附着力达到国家标准。</t>
  </si>
  <si>
    <t>1.面材：德国夏特MFC贴面，符合国际环保标准，耐
磨、硬度高、防水、防污、耐高温、抗酸碱。
2.基材：采用E0级刨花板，甲醛释放量为5mg≤100g
。
3.封边：意大利全自动封边机，优质2mmPVC封边。
4.脚架：钢制脚架,经除油、除锈、酸洗、磷化等工序
处理。
5.配置铝合金线盒。</t>
  </si>
  <si>
    <t>3F小会议室
*3\2F中会议
室*1</t>
  </si>
  <si>
    <t>1400*450*750</t>
  </si>
  <si>
    <t>3200*1400*750</t>
  </si>
  <si>
    <t>2F小会议室
*1</t>
  </si>
  <si>
    <t>演讲台</t>
  </si>
  <si>
    <t>1. 面料：采用优质环保网布面料；
2. 泡绵：优质无氟发泡高密度定型阻燃海绵，密度为35-45KG/立方，
回弹力：47%,软硬度适中；
3. 弹簧：高强度蛇形弹簧，强力织带橡筋；
4、椅架：采用1.8厚冷轧钢支撑铁架，经过除锈、耐酸碱、防腐等特殊
处理，外层用静电无尘环保电镀（镀铬） ，并经高温及防刮花处理。表
面均匀光亮，色泽一致，严密、平整、无划伤， 附着力达到国家标准。</t>
  </si>
  <si>
    <t>12500*3000*750</t>
  </si>
  <si>
    <t>1.面材：高档0.6mm木皮饰面，表面平整，纹理清晰
自然。
2.基材：采用E0级中纤板。
3.五金配件：采用进口五金配件。
4.油漆：环保水性漆，不含甲醛，三苯等有害有机溶
剂，安全环保，无毒无味。
配置台面同色木制线盒。</t>
  </si>
  <si>
    <t>中型会议室（18人）</t>
  </si>
  <si>
    <t>*全新塑料大网架+滑动海绵腰包
*高级悬空网座
*全新定制高级弹力网布
*2.0厚套管铁架+PU扶手面</t>
  </si>
  <si>
    <t>1. 面料：采用优质环保超纤皮面料；
2. 泡绵：优质无氟发泡高密度定型阻燃海绵，密度为35-45KG/立方，
回弹力：47%,软硬度适中；
3. 弹簧：高强度蛇形弹簧，强力织带橡筋；
4、气压棒：采用优质气杆，可承受850KG压力,升降轻便灵活、无漏气
、 无燥音，   重复升降48万次无故障，具有倾仰功能；
5、采用增强尼龙66%加23%的玻璃纤维注塑而成，在受压迫750磅下往
复10万次  不损坏， 间隙误差在1%毫米左右，脚轮转动平动轻快、灵
活、无破损、边接牢固，移动杂音小，耐磨性大,优质尼龙五星脚架。
6、双手柄多功能底盘（可多个角度锁定） 、可上下活动腰垫。</t>
  </si>
  <si>
    <t>1500*600*800</t>
  </si>
  <si>
    <t>3160*1400*750</t>
  </si>
  <si>
    <t>小型会议室</t>
  </si>
  <si>
    <t>1400*600*750</t>
  </si>
  <si>
    <t>1.面材：德国夏特MFC贴面，符合国际环保标准，耐
磨、硬度高、防水、防污、耐高温、抗酸碱。
2.基材：采用E0级刨花板，甲醛释放量为5mg≤100g
。
3.封边：意大利全自动封边机，优质2mmPVC封边。
4.脚架：铝合金脚架带万向轮，配置吸音棉挡板。</t>
  </si>
  <si>
    <t>2000*600*750</t>
  </si>
  <si>
    <t>培训椅</t>
  </si>
  <si>
    <t>椅背：450MM宽大网背，搭配PP腰靠
椅座：5公分加厚高回弹海绵，配PP+GF15%防尘底
壳
椅脚：Q235碳素钢管，表面喷粉烤漆工艺，金属质
感，拥有高承重的特点，稳固性强，不易断裂
功能：座垫可向上翻转折叠，便利座椅进行前后推叠
收纳，可轻松搬运储存。</t>
  </si>
  <si>
    <t>椅背：450MM宽大网背，搭配PP腰靠
椅座：5公分加厚高回弹海绵，配PP+GF15%防尘底
壳
椅脚：Q235碳素钢管，表面喷粉烤漆工艺，金属质
感，拥有高承重的特点，稳固性强，不易断裂
功能：座垫可向上翻转折叠，便利座椅进行前后推叠
收纳，可轻松搬运储存。
配置写字板。</t>
  </si>
  <si>
    <t>7、接待室</t>
  </si>
  <si>
    <t>三人位沙发</t>
  </si>
  <si>
    <t>2280*920*750</t>
  </si>
  <si>
    <t>1.饰面：采用优质生态皮、耐磨强度高、无疤痕、无
结瘤、厚度适中，美观，柔软细腻手感好；2.海绵：
采用50密度高回弹海绵；3.内架：进口纯松木；4.沙
发脚：不锈钢底框。</t>
  </si>
  <si>
    <t>接待室</t>
  </si>
  <si>
    <t>供应商休息洽谈室</t>
  </si>
  <si>
    <t>两人位沙发</t>
  </si>
  <si>
    <t>1640*920*750</t>
  </si>
  <si>
    <t>两人位
沙发</t>
  </si>
  <si>
    <t>1800*850*850</t>
  </si>
  <si>
    <t>D(710)±10*W(730)
±10 *H(800)±10</t>
  </si>
  <si>
    <t>椅背：金属框架+定型绵+优质皮料
扶手：连体固定扶手+定型绵+优质皮料
座垫：定型绵+双层板+优质皮料
底盘：蝴蝶底盘，无升降，无倾仰功能
气杆：自动回位三级气压棒
椅脚：415mm铝合金四星脚</t>
  </si>
  <si>
    <t>1100*850*850</t>
  </si>
  <si>
    <t>1500*800*420</t>
  </si>
  <si>
    <t>墨玉黑石纹
雅士白石纹/实心钢脚</t>
  </si>
  <si>
    <t>800*800*360/50
0*500*490</t>
  </si>
  <si>
    <t>面板：20MM中花白大理石台面，经过磨边处理，底下加多层实木板，
架子：优质不锈钢，经过除锈、耐酸碱、防腐等特殊处理，外层用静电
无尘环保电镀</t>
  </si>
  <si>
    <t>角几</t>
  </si>
  <si>
    <t>450*700*550</t>
  </si>
  <si>
    <t>台面：黑、白色烤漆板/
黑、白色喷涂脚</t>
  </si>
  <si>
    <t>500*500*490</t>
  </si>
  <si>
    <t>茶台</t>
  </si>
  <si>
    <t>2400*900*750</t>
  </si>
  <si>
    <t>1、面材：采用优质科技木皮饰面 ;确保颜色和纹理一致后缝制，接口自
然平整；
2、框架 :采用白蜡木实木，含水率8-10%,经干燥工艺处理，接口自然
平整.
3、基材：采用防潮型E1级环保多层板,木材含水率10-12%，游离甲醛
释放量≤0.3mg/100g；
4、油漆：所有木制部分表面采台湾"大宝"牌的环保水性油漆，均匀喷
涂封闭漆，5遍底漆，3遍面漆， 甲醛释放量符合国际E1标准；
5、大理：  采用天然大理石。</t>
  </si>
  <si>
    <t>主椅</t>
  </si>
  <si>
    <t>1、面料：采用优质环保布艺面料；
2、泡绵：优质无氟发泡高密度海绵，密度为35-45KG/立方， 回弹力：
47%,软硬度适中；
3、弹簧：高强度蛇形弹簧，强力织带橡筋；
4、油漆：底漆和面漆均采用聚酯漆 ，无苯、绿色环保,漆膜硬度≥2H
, 表面平整度≥0.1；
5、框架采用白蜡木实木，含水率8-10%,经干燥工艺处理，接口自然平
整.
6、胶水：采用环保白乳胶 产品符合国家环保检测标准</t>
  </si>
  <si>
    <t>客椅</t>
  </si>
  <si>
    <t>接待沙
发</t>
  </si>
  <si>
    <t>1050*850*850</t>
  </si>
  <si>
    <t>1.面料：采用西皮，经液体浸色及防潮、防污等工艺处理，使皮面更加
柔软舒适，光泽持久；2.海绵：采用优质高密度阻燃海绵，用抽纱或丝
绒覆面，表面有防腐化和防变型保护膜， 回弹性高，耐用度高,防碎，
防氧化， 回弹率≥35%，拉伸强度≥90kPa，伸长率≥130%，干热老化
后拉伸强度≥55kPa，湿热老化后拉伸强度≥55kPa，抗疲劳力强，坐
感舒适。
3.框架：采用优质实木框架，经过防虫、防腐特殊处理，含水率≤
10%，确保坚固可靠，长期使用不松动、不腐朽；背底采用高频热压机
加工成型多层弯曲木板，符合人体工程学。
4.脚架：优质进口橡胶木实木脚架，油漆喷涂采用优质聚脂漆，无苯，
绿色环保，漆膜硬度≥3H。五底三面八道工序，产品美观、无气味、不
变色，光滑耐磨；表面光亮平整、无颗粒、无毒害、易清洁；符合
GB18586-2001标准和国际环保标准；</t>
  </si>
  <si>
    <t>供应商接待室</t>
  </si>
  <si>
    <t>接待长
方几</t>
  </si>
  <si>
    <t>680*480*580</t>
  </si>
  <si>
    <t>8、休息区、等候区</t>
  </si>
  <si>
    <t>吧台</t>
  </si>
  <si>
    <t>6150*600*1050</t>
  </si>
  <si>
    <t>1.基材：采用优质E0级刨花板；
2.脚架：钢制脚架,经除油、除锈、酸洗、磷化等工序
处理。</t>
  </si>
  <si>
    <t>2、3F休息区</t>
  </si>
  <si>
    <t>水吧台
柜</t>
  </si>
  <si>
    <t>5800*600*2800</t>
  </si>
  <si>
    <t>1、面材：采用E1级环保多层实木板基材，游离甲醛释放量为0.4mg/L
以内，密度为850kg/立方米，承重力强，稳定性好；
2、表面采用优质三聚氰胺板饰面，纹路清晰，符合国家E1级标准，经
过防虫、防腐化学处理，各项技术均达到国家标准，产品美观、无气味
、 不变色，光滑耐磨；表面光亮平整、无颗粒、无毒害、易清洁；采用
高级环保胶粘剂，符合GB18586-2001标准和国际环保标准；承重力
强，稳定性好。
3、封边采用2mm厚PVC封边，优质热熔胶，经自动调温热压机使板材粘
连无丝无缝，能长期不变形、不开裂；
4、人造大理石，含洗手盆与水龙头。</t>
  </si>
  <si>
    <t>吧椅</t>
  </si>
  <si>
    <t>1.全新料PP塑胶板:
2.喷涂架子，直径16MM,钢管厚度1.5mm;
3.座垫50密度定型棉</t>
  </si>
  <si>
    <t>休闲长
桌</t>
  </si>
  <si>
    <t>1400*800*750</t>
  </si>
  <si>
    <t>休闲桌</t>
  </si>
  <si>
    <t>Φ800*H723</t>
  </si>
  <si>
    <t>1.基材：采用优质E0级刨花板；
2.面材：双面高端耐磨、耐划痕、耐酸碱、耐烫、耐
污染三胺饰面；
3.封边：采用优质PVC封边带，先进封边机封边工艺；
4.10mm厚实心金属支撑脚。</t>
  </si>
  <si>
    <t>休闲圆
桌</t>
  </si>
  <si>
    <t>直径800*750</t>
  </si>
  <si>
    <t>1. 基材：E1级或以上优质绿色环保型多层实木板， 甲醛释放量≤
0.05mg/m³ , 板材干燥处理至含水率小于8%，经高温防潮、防腐、防虫
处理，永久不变形；
2. 饰面：AAA级天然胡桃木皮贴面，厚度≥0.6mm，纹理清晰自然、色
泽一致、木孔分布均匀、表面平整光滑（无结、无水花、无夹皮） 、耐
磨性好（封边及收口：对应采用胡桃木，硬度高、韧性强）；
3. 油漆：采用优质聚脂漆，无苯，绿色环保，漆膜硬度≥3H。五底三
面八道工序，无气味、不变色，光滑耐磨；表面光亮平整、无颗粒、无
毒害、易清洁；采用高级环保胶粘剂，符合GB18580-2017标准和国家
环保标准。          4、台面为人造大理石。</t>
  </si>
  <si>
    <t>桌子</t>
  </si>
  <si>
    <t>W1400*D800*H75
0</t>
  </si>
  <si>
    <t>1.桌面：层板贴防火板面25mm厚,清漆斜边工艺
2.独立式设计：四个桌脚具有单独拆分、组合的功
能，单个桌脚由3部分组成（桌面连接器，桌脚连接
器，桌脚）。桌面连接器：优质热轧钢所制，直径
90mm，厚度5mm的圆形铁板。桌脚：优质冷轧钢所
制，直径45-95mm喇叭型桌腿，厚度1.5mm的圆柱
体。在包装运输方面极大节约空间。
3.脚垫：可调节式脚塞，全新尼龙制作，75mm高
度，有效避免拖地时将水渍附到桌脚上从而生产腐蚀
。
4.整张桌子采用无螺丝痕迹设计，即可以快速安装，
节约时间和人力，又可以增加美观程度。</t>
  </si>
  <si>
    <t>休闲椅</t>
  </si>
  <si>
    <t>1.椅子原材料采用全新聚丙烯+玻璃纤维，由2部分
（座面、椅背）组合而成。  _x005f  1.座面：座高
440mm，座宽420mm，座深440mm，座面根据人
体曲线设计舒适配比，辨识度高，座感好等。5种常规
颜色可选。    2.椅背：带19条镂空条纹，  增强椅背透
气；背重0.65KG，靠背呈U型包覆性明显 ，提高整椅
的舒适度。    3.四脚40*35mm成菱形设计、结构稳
定，PU耐磨脚垫保护地板随意推拉。    4.整椅按照美
国BIFMA测试标准，椅子可承重150KG，胶背
34KG12万次循环耐磨测试，有BIFMA测试证书。整
椅可多张堆叠设计、节省空间、方便单手手提；</t>
  </si>
  <si>
    <t>高吧台</t>
  </si>
  <si>
    <t>6520*600*900</t>
  </si>
  <si>
    <t>1.面料：超纤皮面料座靠，防潮、防污处理。
2.海棉：采用使用高密度高弹力海绵，用抽纱或丝绒、
覆面，表面有防腐化和防变型保护膜。
3.框架：采用实木内框架，高强度蛇型拉力筋结构，
4.钢制脚架。</t>
  </si>
  <si>
    <t>1F等候区</t>
  </si>
  <si>
    <t>高吧椅</t>
  </si>
  <si>
    <t>PP塑胶坐板一次性冲压而成，实木脚架，环保油漆。</t>
  </si>
  <si>
    <t>单人位</t>
  </si>
  <si>
    <t>接待等候区</t>
  </si>
  <si>
    <t>岩板台面
国标1.5mm正三角钢管黑色细磨砂</t>
  </si>
  <si>
    <t>2400*850*850</t>
  </si>
  <si>
    <t>弧形沙发</t>
  </si>
  <si>
    <t>3180/2240*850
*750</t>
  </si>
  <si>
    <t>1.饰面：采用优质生态皮、耐磨强度高、厚度适中，
美观，柔软细腻手感好；2.海绵：采用50密度高回弹
海绵；3.内架：进口纯松木；4.沙发脚：不锈钢圆柱脚
。</t>
  </si>
  <si>
    <t>单人沙
发</t>
  </si>
  <si>
    <t>830*850*1130</t>
  </si>
  <si>
    <t>1.饰面：采用优质生态皮、耐磨强度高、厚度适中，
美观；底盘：旋转、自动回位功能；椅座定型海绵；
黑色喷涂钢脚，可自动回位。</t>
  </si>
  <si>
    <t>大茶几</t>
  </si>
  <si>
    <t>800*800*450</t>
  </si>
  <si>
    <t>大方几</t>
  </si>
  <si>
    <t>1100*1100*245</t>
  </si>
  <si>
    <t>古木纹大理石+不锈钢拉丝储物盆，深灰色碳素钢</t>
  </si>
  <si>
    <t>小茶几</t>
  </si>
  <si>
    <t>500*500*510</t>
  </si>
  <si>
    <t>530*620*770</t>
  </si>
  <si>
    <t>皮革座包,镜面亮光不锈钢</t>
  </si>
  <si>
    <t>前台接待区</t>
  </si>
  <si>
    <t>9、户外</t>
  </si>
  <si>
    <t>桌子、</t>
  </si>
  <si>
    <t>D700*740</t>
  </si>
  <si>
    <t>桌面：Dia70*2.5悬边铝桌面脚管：Dia45*2.5锥台脚
中柱：Dia7.5*1.5  螺丝连接表面彩色烤漆处理</t>
  </si>
  <si>
    <t>洽谈桌
椅</t>
  </si>
  <si>
    <t>800*750桌子，
一桌四椅</t>
  </si>
  <si>
    <t>铝合金架子，编藤</t>
  </si>
  <si>
    <t>铝管喷涂户外塑粉，    铝管25x1.5圆管</t>
  </si>
  <si>
    <t>长凳</t>
  </si>
  <si>
    <t>2200*500*450</t>
  </si>
  <si>
    <t>防腐木实木</t>
  </si>
  <si>
    <t>生活园区办公楼家具报价单</t>
  </si>
  <si>
    <t>办公室</t>
  </si>
  <si>
    <t>物品</t>
  </si>
  <si>
    <t>单价一（福建）</t>
  </si>
  <si>
    <t>总价一（福建）</t>
  </si>
  <si>
    <t>单价二（广东）</t>
  </si>
  <si>
    <t>总价二（广东）</t>
  </si>
  <si>
    <t>金额（元）</t>
  </si>
  <si>
    <t>董事长办公室</t>
  </si>
  <si>
    <t>/</t>
  </si>
  <si>
    <t>茶桌椅子</t>
  </si>
  <si>
    <t>长沙发</t>
  </si>
  <si>
    <t>短沙发</t>
  </si>
  <si>
    <t>床、床垫</t>
  </si>
  <si>
    <t>总经理办公室</t>
  </si>
  <si>
    <t>总监办公室</t>
  </si>
  <si>
    <t>经理办公室</t>
  </si>
  <si>
    <t>职员办公区</t>
  </si>
  <si>
    <t>大型会议室（147人）</t>
  </si>
  <si>
    <t>多媒体会议室（75人）</t>
  </si>
  <si>
    <t>中型会议室（18人)</t>
  </si>
  <si>
    <t>小型会议室（10人）</t>
  </si>
  <si>
    <t>洽谈区（接待室）</t>
  </si>
  <si>
    <t>等候区</t>
  </si>
  <si>
    <t>四人位沙发</t>
  </si>
  <si>
    <t>休闲圆桌</t>
  </si>
  <si>
    <t>休息区</t>
  </si>
  <si>
    <t>休闲长桌</t>
  </si>
  <si>
    <t>参考方案一</t>
  </si>
  <si>
    <t>参考方案二</t>
  </si>
  <si>
    <t>上京宿舍及公司物品（立旧）</t>
  </si>
  <si>
    <t>位置</t>
  </si>
  <si>
    <t>上京宿舍</t>
  </si>
  <si>
    <t>1.5m床铺</t>
  </si>
  <si>
    <t>办公桌椅</t>
  </si>
  <si>
    <t>冰箱</t>
  </si>
  <si>
    <t>台</t>
  </si>
  <si>
    <t>71升</t>
  </si>
  <si>
    <t>洗衣机</t>
  </si>
  <si>
    <t>镜子</t>
  </si>
  <si>
    <t>撑衣杆</t>
  </si>
  <si>
    <t>衣帽架</t>
  </si>
  <si>
    <t>餐桌</t>
  </si>
  <si>
    <t>公司</t>
  </si>
  <si>
    <t>生活园区宿舍物品清单</t>
  </si>
  <si>
    <t>类型</t>
  </si>
  <si>
    <t>四人间</t>
  </si>
  <si>
    <t>1.2床铺（上下床）</t>
  </si>
  <si>
    <t>把</t>
  </si>
  <si>
    <t>浴室置物架</t>
  </si>
  <si>
    <t>阳台置物架</t>
  </si>
  <si>
    <t>垃圾桶</t>
  </si>
  <si>
    <t>双人间</t>
  </si>
  <si>
    <t>1.5床铺</t>
  </si>
  <si>
    <t>单人间</t>
  </si>
  <si>
    <t>1.8床铺</t>
  </si>
  <si>
    <t>套间</t>
  </si>
  <si>
    <t>四方桌子</t>
  </si>
  <si>
    <t>入住生活园区宿舍房间数量汇总表</t>
  </si>
  <si>
    <t>房间类型</t>
  </si>
  <si>
    <t>员工宿舍</t>
  </si>
  <si>
    <t>间</t>
  </si>
  <si>
    <t>预计有60人入职，入住四人间，需要15间</t>
  </si>
  <si>
    <t>客房</t>
  </si>
  <si>
    <t>电视柜</t>
  </si>
  <si>
    <t>休闲圆桌椅</t>
  </si>
  <si>
    <t>一桌四椅</t>
  </si>
  <si>
    <t>宿舍楼</t>
    <phoneticPr fontId="17" type="noConversion"/>
  </si>
  <si>
    <t>单价（元）</t>
    <phoneticPr fontId="17" type="noConversion"/>
  </si>
  <si>
    <t>10、宿舍楼</t>
    <phoneticPr fontId="17" type="noConversion"/>
  </si>
  <si>
    <t>1.5米床</t>
  </si>
  <si>
    <t>1.5米</t>
  </si>
  <si>
    <t>原木色</t>
  </si>
  <si>
    <t>1.8米床</t>
  </si>
  <si>
    <t>1.8米</t>
  </si>
  <si>
    <t>3门衣柜</t>
  </si>
  <si>
    <t>白蜡木+橡胶木贴白蜡皮</t>
  </si>
  <si>
    <t>1200*610*2100</t>
  </si>
  <si>
    <t>中式直脚书桌</t>
  </si>
  <si>
    <t>橡胶木</t>
  </si>
  <si>
    <t>1400*550*750</t>
  </si>
  <si>
    <t>一桌四椅子</t>
  </si>
  <si>
    <t>橡胶木+棉麻布</t>
  </si>
  <si>
    <t>1.5米床垫</t>
  </si>
  <si>
    <t>面料：喷气式精织高档针织布                                  舒适层：500克pk 棉                                          弹簧：猛钢连锁弹簧                              特点：直立两边</t>
  </si>
  <si>
    <t>1500*2000*220</t>
  </si>
  <si>
    <t>常规色</t>
  </si>
  <si>
    <t>1.2米床垫</t>
  </si>
  <si>
    <t>1200*2000*220</t>
  </si>
  <si>
    <t>1.8米床垫</t>
  </si>
  <si>
    <t>面料：进口针织布面料舒适层：2分高分子高弹乳胶棉                                       弹簧：猛钢连锁弹簧</t>
  </si>
  <si>
    <t>面料：进口针织布面料舒适层：2分高分子高弹乳胶棉                弹簧：独立袋装弹簧</t>
  </si>
  <si>
    <t>1800*2000*250</t>
  </si>
  <si>
    <t>1500*2000*250</t>
  </si>
  <si>
    <t>白蜡木+橡胶木贴白蜡木皮+松木铺板</t>
    <phoneticPr fontId="17" type="noConversion"/>
  </si>
  <si>
    <t>参数</t>
    <phoneticPr fontId="17" type="noConversion"/>
  </si>
  <si>
    <t>深灰真皮包边面料。</t>
    <phoneticPr fontId="17" type="noConversion"/>
  </si>
  <si>
    <t>黑胡桃木+超纤皮</t>
    <phoneticPr fontId="17" type="noConversion"/>
  </si>
  <si>
    <t>1.面料：真皮面料座靠，防潮、防污处理。
2.海棉：采用使用高密度高弹力海绵，用抽纱或丝绒
覆面，表面有防腐化和防变型保护膜。
3.框架：采用实木内框架，高强度蛇型拉力筋结构，
4.钢制脚架。</t>
    <phoneticPr fontId="17" type="noConversion"/>
  </si>
  <si>
    <t>深灰真皮包边面料。3D浅灰色面料，吸湿排汗，干爽透气。
纤维棉高密度海棉垫层提供呵护及承托，采用锰钢钢质弹簧。</t>
    <phoneticPr fontId="17" type="noConversion"/>
  </si>
  <si>
    <t>钢制脚架，实木抽柜，岩板柜面。</t>
    <phoneticPr fontId="17" type="noConversion"/>
  </si>
  <si>
    <t>1.基材：采用优质E0级中纤板；
2.油漆：台湾大宝水性净味漆；
3.面材：优质进口天然胡桃小山纹木皮半开放漆工艺
4.配置多功能升降架，胡桃木色，透明玻璃</t>
    <phoneticPr fontId="17" type="noConversion"/>
  </si>
  <si>
    <t>铝合金四星脚，采用使用高密度高弹力海绵，真皮面料座靠。</t>
    <phoneticPr fontId="17" type="noConversion"/>
  </si>
  <si>
    <t>1. 基材：E1级或以上优质绿色环保型中密度纤维板， 甲醛释放量≤0.05mg/m³ , 板材干燥处理至含水率小于8%，经高温防潮、防腐、防虫处理，永久不变形；
2. 饰面：AAA级天然胡桃木皮贴面，厚度≥0.6mm，纹理清晰自然、色泽一致、木孔分布均匀、表面平整光滑（无结、无水花、无夹皮） 、耐磨性好（封边及收口：对应采用胡桃木，硬度高、韧性强）；
3. 油漆：采用优质聚脂漆，无苯，绿色环保，漆膜硬度≥3H。五底三面八道工序，无气味、不变色，光滑耐磨；表面光亮平整、无颗粒、无毒害、易清洁；采用高级环保胶粘剂，符合GB18580-2017标准和国家环保标准。</t>
    <phoneticPr fontId="17" type="noConversion"/>
  </si>
  <si>
    <t>1.面材：高档0.6mm木皮饰面，表面平整，纹理清晰自然。
2.基材：采用E0级中纤板。
3.五金配件：采用进口五金配件。
4.油漆：环保水性漆，不含甲醛，三苯等有害有机溶剂，安全环保，无毒无味。配置电动升降圆桌。</t>
    <phoneticPr fontId="17" type="noConversion"/>
  </si>
  <si>
    <t>1.进口真皮面料座靠。
2.内置钢架+德国巴斯夫定型海绵80#密度，久坐不变形。
3.升降、倾仰、多档锁定功能;倾仰力度均匀、座感柔韧、弹力贴身、30万次严苛推背测试。
4.协强气压棒TUV4级，管壁厚度2.5mm
5.脚架为高标号铝材一次性成型，含碳含铅量更低，环保标准、净亮度更高。静压测试1300KG以上。轮子为尼龙+PU静音万向轮。</t>
    <phoneticPr fontId="17" type="noConversion"/>
  </si>
  <si>
    <t>1.面材：高档0.6mm木皮饰面，表面平整，纹理清晰自然。
2.基材：采用E0级中纤板。
3.五金配件：采用进口五金配件。
4.油漆：环保水性漆，不含甲醛，三苯等有害有机溶剂，安全环保，无毒无味。</t>
    <phoneticPr fontId="17" type="noConversion"/>
  </si>
  <si>
    <t>1、面材：采用E1级环保刨花板基材，游离甲醛释放量为0.4mg/L以
内，密度为850kg/立方米，承重力强，稳定性好；
2、表面采用优质三聚氰胺板饰面，纹路清晰，符合国家E1级标准，经过防虫、防腐化学处理，各项技术均达到国家标准，产品美观、无气味、 不变色，光滑耐磨；表面光亮平整、无颗粒、无毒害、易清洁；采用高级环保胶粘剂，符合GB18586-2001标准和国际环保标准；承重力强，稳定性好。
3、封边采用2mm厚PVC封边，优质热熔胶，经自动调温热压机使板材粘连无丝无缝，能长期不变形、不开裂；</t>
    <phoneticPr fontId="17" type="noConversion"/>
  </si>
  <si>
    <t>黑胡桃木+多层板贴黑胡桃木饰面。配置茶盘。</t>
    <phoneticPr fontId="17" type="noConversion"/>
  </si>
  <si>
    <t>黑胡桃木+多层板贴黑胡桃木饰面。配置电磁炉。</t>
    <phoneticPr fontId="17" type="noConversion"/>
  </si>
  <si>
    <t>.巴西进口头层黄牛皮饰面
.双层背弯板
.高弹力海绵
.铝合金扶手架连体扶手，配扪皮扶手面
.配4档倾仰锁定功能
.100#沉40mm电镀汽杆
.350铝合金脚
.60/25防震黑色PU轮</t>
    <phoneticPr fontId="17" type="noConversion"/>
  </si>
  <si>
    <t xml:space="preserve">床：生太皮面料。床垫：3D浅灰色面料，吸湿排汗，干爽透气。
纤维棉高密度海棉垫层提供呵护及承托，采用锰钢钢质弹簧。
</t>
    <phoneticPr fontId="17" type="noConversion"/>
  </si>
  <si>
    <t>生太皮面料+黑色玻璃柜面。</t>
    <phoneticPr fontId="17" type="noConversion"/>
  </si>
  <si>
    <t>尺寸</t>
    <phoneticPr fontId="17" type="noConversion"/>
  </si>
  <si>
    <t>1.基材：采用优质E0级中纤板/刨花板；
2.面材：科技银檀309#木皮
(直纹)1分光封闭漆；
3.油漆：台湾大宝水性净味漆；
4.配件：OECZ076M-带黑色镜面滑盖</t>
    <phoneticPr fontId="17" type="noConversion"/>
  </si>
  <si>
    <t>1.真皮面料座靠。
2.20MM厚双层弯板+舒适高级羽绒填充
3.气压棒为三泓同档次品牌 65#70mm电镀气杆
4.5档锁定逍遥功能高级大底盘
5.350#铝合金压铸五星脚
6.合成尼龙纤维树脂材料制成60mm防震静音轮</t>
    <phoneticPr fontId="17" type="noConversion"/>
  </si>
  <si>
    <t>软包：优质西皮+高弹力海绵
框架：黑色五金沙发脚+木方夹板
脚架：黑色五金沙发脚、中脚。</t>
    <phoneticPr fontId="17" type="noConversion"/>
  </si>
  <si>
    <t>·优质西皮面+切割绵
·电镀架+定型板
·连体铁架皮面固定扶手
·优质皮面+弯板椅座
·电镀椅架</t>
    <phoneticPr fontId="17" type="noConversion"/>
  </si>
  <si>
    <t>1.基材：采用优质E0级中纤板/刨花板；
2.面材：科技银檀309#木皮
(直纹)1分光封闭漆；
3.油漆：台湾大宝水性净味漆；</t>
    <phoneticPr fontId="17" type="noConversion"/>
  </si>
  <si>
    <t>1.基材：采用威利邦进口生产线E0级中密度纤维板；
2.吸塑工艺：进口新材料PMMA的新材料饰面；
3.五金：“FGV”牌 反弹导轨+“FGV”牌 缓冲门铰
+铝合金铸铝脚和台架，高端压铸散热网孔盖；
4.走线：副柜内部走线，内配80圆形过线盒，台面配
置压铸线盒；</t>
    <phoneticPr fontId="17" type="noConversion"/>
  </si>
  <si>
    <t>1、面材：采用E1级环保刨花板基材，游离甲醛释放量为0.4mg/L以内，密度为850kg/立方米，承重力强，稳定性好；
2、表面采用优质三聚氰胺板饰面，纹路清晰，符合国家E1级标准，经过防虫、防腐化学处理，各项技术均达到国家标准，产品美观、无气味、 不变色，光滑耐磨；表面光亮平整、无颗粒、无毒害、易清洁；采用高级环保胶粘剂，符合GB18586-2001标准和国际环保标准；承重力强，稳定性好。
3、封边采用2mm厚PVC封边，优质热熔胶，经自动调温热压机使板材粘连无丝无缝，能长期不变形、不开裂；</t>
    <phoneticPr fontId="17" type="noConversion"/>
  </si>
  <si>
    <t>1.头枕：全新尼龙加纤塑胶框架，可升降及角度调节；
2.椅背：全新尼龙加纤塑胶，椅背可升降；
3.背支架：椅背支架为全新尼龙加纤塑胶材质；
4.腰枕：全新尼龙加纤塑胶框架，自动弹力调节腰枕；
5.座垫：全新尼龙加纤塑胶框架，线控操作功能；
6.扶手：3DPU扶手，可高低升降、角度旋转及前后调节；
7.底盘：多功能线控防爆底盘，可线控操作升降及倾仰锁定
8.气杆：进口四级防爆气压棒；
9.椅脚：350mm铝合金脚，过BIFMA冲压静压测试；
10.椅轮：60mm PU静音防震椅轮；</t>
    <phoneticPr fontId="25" type="noConversion"/>
  </si>
  <si>
    <t>1. 基材：E1级或以上优质绿色环保型中密度纤维板， 甲醛释放量≤0.05mg/m³ , 板材干燥处理至含水率小于8%，经高温防潮、防腐、防虫处理，永久不变形；
2. 饰面：AAA级天然胡桃木皮贴面，厚度≥0.6mm，纹理清晰自然、色泽一致、木孔分布均匀、表面平整光滑（无结、无水花、无夹皮） 、耐磨性好（封边及收口：对应采用胡桃木，硬度高、韧性强）；
3. 油漆：采用优质聚脂漆，无苯，绿色环保，漆膜硬度≥3H。五底三面八道工序，无气味、不变色，光滑耐磨；表面光亮平整、无颗粒、无毒害、易清洁；采用高级环保胶粘剂，符合GB18580-2017标准和国家环保标准。</t>
    <phoneticPr fontId="25" type="noConversion"/>
  </si>
  <si>
    <t>1.基材：采用优质E0级刨花板
2.面材：双面高端耐磨、耐划痕、耐酸碱、耐烫、耐污染饰面纸；
3.封边：采用优质PVC封边带；
4.五金：全铝合金支撑架（铝材平均壁厚达1.6mm）。</t>
    <phoneticPr fontId="17" type="noConversion"/>
  </si>
  <si>
    <t>1.面材：德国夏特MFC贴面，符合国际环保标准，耐磨、硬度高、防水、防污、耐高温、抗酸碱。
2.基材：采用E0级刨花板，甲醛释放量为5mg≤100g。
3.封边：意大利全自动封边机，优质PVC封边。
4.屏风K3：铝合金边框，三胺板+三胺板+条纹玻璃
5.屏风K6：铝合金边框，走线槽+三胺板+三胺板。
6.采用木制板。</t>
    <phoneticPr fontId="17" type="noConversion"/>
  </si>
  <si>
    <t>1.靠背：全新PP加纤注塑成型一体胶框
2.靠背：宽窄条尼龙网布，具有色彩鲜艳不褪色，韧性抗拉性强，耐磨损，无毒，耐腐烂，耐化学品，耐高温抗紫外线，透气性强，使用寿命长等特点
3.腰：背框中间融入仿龙骨腰靠，配有三档调节功能整体外观更显得大气十足
4.椅座：海绵用5.5CM复合纯棉，45密50硬棉
5.气杆：通过SGS测试，高级100-60黑色气压棒，100MM升降行程
6.椅脚：椅脚通过1136公斤静压测试，R340MM尼龙脚
7.椅轮：PA料，万向转动流畅，灵便无噪音</t>
    <phoneticPr fontId="17" type="noConversion"/>
  </si>
  <si>
    <t>配置午休脚踏
*优质办公网布饰面。
* 黑色PP+玻纤椅背。
* 黑色固定扶手。
* 高密度高回弹海绵（带底壳）。
* 黑色烤漆弓形架。</t>
    <phoneticPr fontId="17" type="noConversion"/>
  </si>
  <si>
    <t>1.优质办公网布饰面。
* 黑色PP+玻纤椅背。
* 黑色固定扶手。
* 高密度高回弹海绵（带底壳）。
* 黑色烤漆弓形架。</t>
    <phoneticPr fontId="17" type="noConversion"/>
  </si>
  <si>
    <t>1.面材：高档0.6mm木皮饰面，表面平整，纹理清晰自然。
2.基材：采用E0级中纤板。
3.五金配件：采用进口五金配件。
4.油漆：环保水性漆，不含甲醛，三苯等有害有机溶剂，安全环保，无毒无味。配置台面同色木制线盒。</t>
    <phoneticPr fontId="25" type="noConversion"/>
  </si>
  <si>
    <t>1.基材：采用优质E0级中纤板/刨花板；
2.油漆：台湾大宝水性净味漆；
3.钢架：ML-66深空灰色金属支撑钢架；
4.配件：活动线盖板+多功能插座面板+圆形出线孔</t>
    <phoneticPr fontId="17" type="noConversion"/>
  </si>
  <si>
    <t>1.面材：德国夏特MFC贴面，符合国际环保标准，耐磨、硬度高、防水、防污、耐高温、抗酸碱。
2.基材：采用E0级刨花板，甲醛释放量为5mg≤100g。
3.封边：意大利全自动封边机，优质2mmPVC封边。
4.脚架：钢制脚架,经除油、除锈、酸洗、磷化等工序处理。
5.配置铝合金线盒。</t>
    <phoneticPr fontId="17" type="noConversion"/>
  </si>
  <si>
    <t>常规</t>
    <phoneticPr fontId="17" type="noConversion"/>
  </si>
  <si>
    <t>1.饰面：采用优质生态皮、耐磨强度高、无疤痕、无结瘤、厚度适中，美观，柔软细腻手感好；
2.海绵：采用50密度高回弹海绵；
3.内架：进口纯松木；
4.沙发脚：不锈钢底框。</t>
    <phoneticPr fontId="17" type="noConversion"/>
  </si>
  <si>
    <t>1.面料：超纤皮面料座靠，防潮、防污处理。
2.海棉：采用使用高密度高弹力海绵，用抽纱或丝绒、覆面，表面有防腐化和防变型保护膜。
3.框架：采用实木内框架，高强度蛇型拉力筋结构，
4.钢制脚架。</t>
    <phoneticPr fontId="17" type="noConversion"/>
  </si>
  <si>
    <t>岩板台面
国标1.5mm正三角钢管黑色细磨砂</t>
    <phoneticPr fontId="17" type="noConversion"/>
  </si>
  <si>
    <t>1.饰面：采用优质生态皮、耐磨强度高、厚度适中，美观，柔软细腻手感好；
2.海绵：采用50密度高回弹海绵；
3.内架：进口纯松木；
4.沙发脚：不锈钢圆柱脚。</t>
    <phoneticPr fontId="17" type="noConversion"/>
  </si>
  <si>
    <t>1.面料：采用西皮，经液体浸色及防潮、防污等工艺处理，使皮面更加柔软舒适，光泽持久；
2.海绵：采用优质高密度阻燃海绵，用抽纱或丝绒覆面，表面有防腐化和防变型保护膜， 回弹性高，耐用度高,防碎，防氧化， 回弹率≥35%，拉伸强度≥90kPa，伸长率≥130%，干热老化后拉伸强度≥55kPa，湿热老化后拉伸强度≥55kPa，抗疲劳力强，坐感舒适。
3.框架：采用优质实木框架，经过防虫、防腐特殊处理，含水率≤10%，确保坚固可靠，长期使用不松动、不腐朽；背底采用高频热压机加工成型多层弯曲木板，符合人体工程学。
4.脚架：优质进口橡胶木实木脚架，油漆喷涂采用优质聚脂漆，无苯，绿色环保，漆膜硬度≥3H。五底三面八道工序，产品美观、无气味、不变色，光滑耐磨；表面光亮平整、无颗粒、无毒害、易清洁；符合GB18586-2001标准和国际环保标准；</t>
    <phoneticPr fontId="17" type="noConversion"/>
  </si>
  <si>
    <t>1.基材：采用优质E0级刨花板；
2.面材：双面高端耐磨、耐划痕、耐酸碱、耐烫、耐污染三胺饰面；
3.封边：采用优质PVC封边带，先进封边机封边工艺；
4.10mm厚实心金属支撑脚。</t>
    <phoneticPr fontId="17" type="noConversion"/>
  </si>
  <si>
    <t>1.椅子原材料采用全新聚丙烯+玻璃纤维，由2部分（座面、椅背）组合而成。
2.座面：座高440mm，座宽420mm，座深440mm，座面根据人体曲线设计舒适配比，辨识度高，座感好等。5种常规颜色可选。
3.椅背：带19条镂空条纹，增强椅背透气；背重0.65KG，靠背呈U型包覆性明显 ，提高整椅的舒适度。
4.四脚40*35mm成菱形设计、结构稳定，PU耐磨脚垫保护地板随意推拉。
5.整椅按照美国BIFMA测试标准，椅子可承重150KG，胶背34KG12万次循环耐磨测试，有BIFMA测试证书。整椅可多张堆叠设计、节省空间、方便单手手提；</t>
    <phoneticPr fontId="17" type="noConversion"/>
  </si>
  <si>
    <t>1.基材：采用优质E0级刨花板；
2.面材：双面高端耐磨、耐划痕、耐酸碱、耐烫、耐污染三胺饰面；
3.封边：采用优质PVC封边带，先进封边机封边工艺；
4.10mm厚实心金属支撑脚。</t>
    <phoneticPr fontId="25" type="noConversion"/>
  </si>
  <si>
    <t>1.桌面：层板贴防火板面25mm厚,清漆斜边工艺
2.独立式设计：四个桌脚具有单独拆分、组合的功能，单个桌脚由3部分组成（桌面连接器，桌脚连接器，桌脚）。桌面连接器：优质热轧钢所制，直径90mm，厚度5mm的圆形铁板。桌脚：优质冷轧钢所制，直径45-95mm喇叭型桌腿，厚度1.5mm的圆柱体。在包装运输方面极大节约空间。
3.脚垫：可调节式脚塞，全新尼龙制作，75mm高度，有效避免拖地时将水渍附到桌脚上从而生产腐蚀。
4.整张桌子采用无螺丝痕迹设计，即可以快速安装，节约时间和人力，又可以增加美观程度。</t>
    <phoneticPr fontId="17" type="noConversion"/>
  </si>
  <si>
    <t>白蜡木+橡胶木贴白蜡木皮+松木铺板</t>
  </si>
  <si>
    <t>1200*2000</t>
  </si>
  <si>
    <t>1500*2000</t>
  </si>
  <si>
    <t>面料：喷气式精织高档针织布；舒适层：500克pk 棉；弹簧：猛钢连锁弹簧；特点：直立两边</t>
    <phoneticPr fontId="17" type="noConversion"/>
  </si>
  <si>
    <t>面料：进口针织布面料
舒适层：2分高分子高弹乳胶棉
弹簧：独立袋装弹簧</t>
    <phoneticPr fontId="17" type="noConversion"/>
  </si>
  <si>
    <t>1000*500*750</t>
  </si>
  <si>
    <t>一门</t>
  </si>
  <si>
    <t>三门</t>
  </si>
  <si>
    <t>510*490*770</t>
  </si>
  <si>
    <t>420*400*500</t>
  </si>
  <si>
    <t>2680*800*800</t>
  </si>
  <si>
    <t>1800*400*450</t>
  </si>
  <si>
    <t>宽80cm</t>
  </si>
  <si>
    <t>1200*600*430</t>
  </si>
  <si>
    <t>白蜡木+橡胶木贴白蜡皮</t>
    <phoneticPr fontId="17" type="noConversion"/>
  </si>
  <si>
    <t>橡胶木+棉麻布
套间（椅子要可伸放到桌子底下）</t>
    <phoneticPr fontId="17" type="noConversion"/>
  </si>
  <si>
    <t>桌子</t>
    <phoneticPr fontId="17" type="noConversion"/>
  </si>
  <si>
    <t>1400*600*750</t>
    <phoneticPr fontId="17" type="noConversion"/>
  </si>
  <si>
    <t>备注：具体数量、尺寸以现场实际为准</t>
    <phoneticPr fontId="17" type="noConversion"/>
  </si>
  <si>
    <t>3200*1000*750</t>
    <phoneticPr fontId="17" type="noConversion"/>
  </si>
  <si>
    <t>2400*900*740</t>
    <phoneticPr fontId="17" type="noConversion"/>
  </si>
  <si>
    <t>6700*400*2800</t>
    <phoneticPr fontId="17" type="noConversion"/>
  </si>
  <si>
    <t>800*420*630</t>
    <phoneticPr fontId="17" type="noConversion"/>
  </si>
  <si>
    <t>2400*800*750</t>
    <phoneticPr fontId="17" type="noConversion"/>
  </si>
  <si>
    <t>桌：2400*800*750</t>
    <phoneticPr fontId="17" type="noConversion"/>
  </si>
  <si>
    <t>3000*850*850</t>
    <phoneticPr fontId="17" type="noConversion"/>
  </si>
  <si>
    <t>1850*850*850</t>
    <phoneticPr fontId="17" type="noConversion"/>
  </si>
  <si>
    <t>1500*750*450</t>
    <phoneticPr fontId="17" type="noConversion"/>
  </si>
  <si>
    <t>1200*1200*430</t>
    <phoneticPr fontId="17" type="noConversion"/>
  </si>
  <si>
    <t>3500*600*2800</t>
    <phoneticPr fontId="17" type="noConversion"/>
  </si>
  <si>
    <t>W3200*D2326*H7
55</t>
    <phoneticPr fontId="17" type="noConversion"/>
  </si>
  <si>
    <t>620-
710*710*1180-
1280</t>
    <phoneticPr fontId="17" type="noConversion"/>
  </si>
  <si>
    <t>620*710*1065-
1165</t>
    <phoneticPr fontId="17" type="noConversion"/>
  </si>
  <si>
    <t>W2200*D1800*H7
50</t>
    <phoneticPr fontId="17" type="noConversion"/>
  </si>
  <si>
    <t>4000*400*2000</t>
    <phoneticPr fontId="17" type="noConversion"/>
  </si>
  <si>
    <t>三人位</t>
    <phoneticPr fontId="17" type="noConversion"/>
  </si>
  <si>
    <t>1200*600*450</t>
    <phoneticPr fontId="17" type="noConversion"/>
  </si>
  <si>
    <t>1450*1450*1100</t>
    <phoneticPr fontId="17" type="noConversion"/>
  </si>
  <si>
    <t>1500*600*800拼凑</t>
    <phoneticPr fontId="17" type="noConversion"/>
  </si>
  <si>
    <t>5500*1500*750</t>
    <phoneticPr fontId="17" type="noConversion"/>
  </si>
  <si>
    <t>12500*3000*750</t>
    <phoneticPr fontId="17" type="noConversion"/>
  </si>
  <si>
    <t>3200*1400*750</t>
    <phoneticPr fontId="17" type="noConversion"/>
  </si>
  <si>
    <t>D(710)±10*W(730)
±10 *H(800)±10</t>
    <phoneticPr fontId="17" type="noConversion"/>
  </si>
  <si>
    <t>2400*850*850</t>
    <phoneticPr fontId="17" type="noConversion"/>
  </si>
  <si>
    <t>3180/2240*850
*750</t>
    <phoneticPr fontId="17" type="noConversion"/>
  </si>
  <si>
    <r>
      <rPr>
        <sz val="12"/>
        <rFont val="Calibri"/>
        <family val="2"/>
      </rPr>
      <t>Φ</t>
    </r>
    <r>
      <rPr>
        <sz val="12"/>
        <rFont val="宋体"/>
        <charset val="134"/>
      </rPr>
      <t>800*H723</t>
    </r>
    <phoneticPr fontId="17" type="noConversion"/>
  </si>
  <si>
    <t>Φ800*H723</t>
    <phoneticPr fontId="17" type="noConversion"/>
  </si>
  <si>
    <t>橡胶木</t>
    <phoneticPr fontId="17" type="noConversion"/>
  </si>
  <si>
    <t>红橡木+超纤皮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</si>
</sst>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__@"/>
    <numFmt numFmtId="177" formatCode="&quot;￥&quot;#,##0.00_);[Red]\(&quot;￥&quot;#,##0.00\)"/>
  </numFmts>
  <fonts count="33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8"/>
      <color theme="1"/>
      <name val="宋体"/>
      <charset val="134"/>
    </font>
    <font>
      <b/>
      <sz val="12"/>
      <name val="宋体"/>
      <charset val="134"/>
    </font>
    <font>
      <b/>
      <sz val="8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8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8"/>
      <name val="宋体"/>
      <charset val="134"/>
    </font>
    <font>
      <sz val="8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Calibri"/>
      <family val="2"/>
    </font>
    <font>
      <sz val="12"/>
      <name val="宋体"/>
      <family val="2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176" fontId="12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wrapText="1"/>
    </xf>
    <xf numFmtId="1" fontId="11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177" fontId="28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177" fontId="30" fillId="3" borderId="1" xfId="0" applyNumberFormat="1" applyFont="1" applyFill="1" applyBorder="1" applyAlignment="1">
      <alignment horizontal="center" vertical="center"/>
    </xf>
    <xf numFmtId="177" fontId="30" fillId="0" borderId="1" xfId="0" applyNumberFormat="1" applyFont="1" applyBorder="1" applyAlignment="1">
      <alignment horizontal="center" vertical="center"/>
    </xf>
    <xf numFmtId="177" fontId="30" fillId="4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top" wrapText="1"/>
    </xf>
    <xf numFmtId="0" fontId="28" fillId="0" borderId="1" xfId="0" applyFont="1" applyBorder="1" applyAlignment="1">
      <alignment horizontal="left" vertical="center"/>
    </xf>
    <xf numFmtId="177" fontId="31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7" xfId="0" applyFont="1" applyBorder="1" applyAlignment="1">
      <alignment horizontal="left" vertical="center" wrapText="1"/>
    </xf>
    <xf numFmtId="0" fontId="31" fillId="0" borderId="5" xfId="0" applyFont="1" applyBorder="1" applyAlignment="1">
      <alignment horizontal="left" vertical="center" wrapText="1"/>
    </xf>
    <xf numFmtId="0" fontId="31" fillId="0" borderId="7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7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ellimages.xml.rels><?xml version="1.0" encoding="UTF-8" standalone="yes"?>
<Relationships xmlns="http://schemas.openxmlformats.org/package/2006/relationships"><Relationship Id="rId26" Type="http://schemas.openxmlformats.org/officeDocument/2006/relationships/image" Target="media/image26.png"/><Relationship Id="rId117" Type="http://schemas.openxmlformats.org/officeDocument/2006/relationships/image" Target="media/image117.png"/><Relationship Id="rId89" Type="http://schemas.openxmlformats.org/officeDocument/2006/relationships/image" Target="media/image89.jpeg"/><Relationship Id="rId84" Type="http://schemas.openxmlformats.org/officeDocument/2006/relationships/image" Target="media/image84.png"/><Relationship Id="rId68" Type="http://schemas.openxmlformats.org/officeDocument/2006/relationships/image" Target="media/image68.png"/><Relationship Id="rId63" Type="http://schemas.openxmlformats.org/officeDocument/2006/relationships/image" Target="media/image63.jpeg"/><Relationship Id="rId47" Type="http://schemas.openxmlformats.org/officeDocument/2006/relationships/image" Target="media/image47.jpeg"/><Relationship Id="rId42" Type="http://schemas.openxmlformats.org/officeDocument/2006/relationships/image" Target="media/image42.png"/><Relationship Id="rId21" Type="http://schemas.openxmlformats.org/officeDocument/2006/relationships/image" Target="media/image21.png"/><Relationship Id="rId112" Type="http://schemas.openxmlformats.org/officeDocument/2006/relationships/image" Target="media/image112.jpeg"/><Relationship Id="rId16" Type="http://schemas.openxmlformats.org/officeDocument/2006/relationships/image" Target="media/image16.png"/><Relationship Id="rId107" Type="http://schemas.openxmlformats.org/officeDocument/2006/relationships/image" Target="media/image107.jpeg"/><Relationship Id="rId79" Type="http://schemas.openxmlformats.org/officeDocument/2006/relationships/image" Target="media/image79.png"/><Relationship Id="rId74" Type="http://schemas.openxmlformats.org/officeDocument/2006/relationships/image" Target="media/image74.jpeg"/><Relationship Id="rId58" Type="http://schemas.openxmlformats.org/officeDocument/2006/relationships/image" Target="media/image58.jpeg"/><Relationship Id="rId53" Type="http://schemas.openxmlformats.org/officeDocument/2006/relationships/image" Target="media/image53.jpeg"/><Relationship Id="rId37" Type="http://schemas.openxmlformats.org/officeDocument/2006/relationships/image" Target="media/image37.jpeg"/><Relationship Id="rId32" Type="http://schemas.openxmlformats.org/officeDocument/2006/relationships/image" Target="media/image32.png"/><Relationship Id="rId11" Type="http://schemas.openxmlformats.org/officeDocument/2006/relationships/image" Target="media/image11.png"/><Relationship Id="rId102" Type="http://schemas.openxmlformats.org/officeDocument/2006/relationships/image" Target="media/image102.jpeg"/><Relationship Id="rId95" Type="http://schemas.openxmlformats.org/officeDocument/2006/relationships/image" Target="media/image95.png"/><Relationship Id="rId90" Type="http://schemas.openxmlformats.org/officeDocument/2006/relationships/image" Target="media/image90.jpeg"/><Relationship Id="rId5" Type="http://schemas.openxmlformats.org/officeDocument/2006/relationships/image" Target="media/image5.jpeg"/><Relationship Id="rId69" Type="http://schemas.openxmlformats.org/officeDocument/2006/relationships/image" Target="media/image69.png"/><Relationship Id="rId64" Type="http://schemas.openxmlformats.org/officeDocument/2006/relationships/image" Target="media/image64.jpeg"/><Relationship Id="rId48" Type="http://schemas.openxmlformats.org/officeDocument/2006/relationships/image" Target="media/image48.jpeg"/><Relationship Id="rId43" Type="http://schemas.openxmlformats.org/officeDocument/2006/relationships/image" Target="media/image43.jpeg"/><Relationship Id="rId27" Type="http://schemas.openxmlformats.org/officeDocument/2006/relationships/image" Target="media/image27.jpeg"/><Relationship Id="rId22" Type="http://schemas.openxmlformats.org/officeDocument/2006/relationships/image" Target="media/image22.jpeg"/><Relationship Id="rId118" Type="http://schemas.openxmlformats.org/officeDocument/2006/relationships/image" Target="media/image118.png"/><Relationship Id="rId113" Type="http://schemas.openxmlformats.org/officeDocument/2006/relationships/image" Target="media/image113.png"/><Relationship Id="rId85" Type="http://schemas.openxmlformats.org/officeDocument/2006/relationships/image" Target="media/image85.png"/><Relationship Id="rId80" Type="http://schemas.openxmlformats.org/officeDocument/2006/relationships/image" Target="media/image80.png"/><Relationship Id="rId59" Type="http://schemas.openxmlformats.org/officeDocument/2006/relationships/image" Target="media/image59.jpeg"/><Relationship Id="rId38" Type="http://schemas.openxmlformats.org/officeDocument/2006/relationships/image" Target="media/image38.jpeg"/><Relationship Id="rId33" Type="http://schemas.openxmlformats.org/officeDocument/2006/relationships/image" Target="media/image33.jpeg"/><Relationship Id="rId17" Type="http://schemas.openxmlformats.org/officeDocument/2006/relationships/image" Target="media/image17.png"/><Relationship Id="rId12" Type="http://schemas.openxmlformats.org/officeDocument/2006/relationships/image" Target="media/image12.png"/><Relationship Id="rId108" Type="http://schemas.openxmlformats.org/officeDocument/2006/relationships/image" Target="media/image108.jpeg"/><Relationship Id="rId103" Type="http://schemas.openxmlformats.org/officeDocument/2006/relationships/image" Target="media/image103.jpeg"/><Relationship Id="rId96" Type="http://schemas.openxmlformats.org/officeDocument/2006/relationships/image" Target="media/image96.jpeg"/><Relationship Id="rId91" Type="http://schemas.openxmlformats.org/officeDocument/2006/relationships/image" Target="media/image91.jpeg"/><Relationship Id="rId75" Type="http://schemas.openxmlformats.org/officeDocument/2006/relationships/image" Target="media/image75.jpeg"/><Relationship Id="rId70" Type="http://schemas.openxmlformats.org/officeDocument/2006/relationships/image" Target="media/image70.png"/><Relationship Id="rId54" Type="http://schemas.openxmlformats.org/officeDocument/2006/relationships/image" Target="media/image54.png"/><Relationship Id="rId6" Type="http://schemas.openxmlformats.org/officeDocument/2006/relationships/image" Target="media/image6.png"/><Relationship Id="rId1" Type="http://schemas.openxmlformats.org/officeDocument/2006/relationships/image" Target="media/image1.jpeg"/><Relationship Id="rId49" Type="http://schemas.openxmlformats.org/officeDocument/2006/relationships/image" Target="media/image49.jpeg"/><Relationship Id="rId28" Type="http://schemas.openxmlformats.org/officeDocument/2006/relationships/image" Target="media/image28.png"/><Relationship Id="rId23" Type="http://schemas.openxmlformats.org/officeDocument/2006/relationships/image" Target="media/image23.jpeg"/><Relationship Id="rId119" Type="http://schemas.openxmlformats.org/officeDocument/2006/relationships/image" Target="media/image119.png"/><Relationship Id="rId114" Type="http://schemas.openxmlformats.org/officeDocument/2006/relationships/image" Target="media/image114.png"/><Relationship Id="rId86" Type="http://schemas.openxmlformats.org/officeDocument/2006/relationships/image" Target="media/image86.png"/><Relationship Id="rId81" Type="http://schemas.openxmlformats.org/officeDocument/2006/relationships/image" Target="media/image81.png"/><Relationship Id="rId65" Type="http://schemas.openxmlformats.org/officeDocument/2006/relationships/image" Target="media/image65.jpeg"/><Relationship Id="rId60" Type="http://schemas.openxmlformats.org/officeDocument/2006/relationships/image" Target="media/image60.jpeg"/><Relationship Id="rId44" Type="http://schemas.openxmlformats.org/officeDocument/2006/relationships/image" Target="media/image44.png"/><Relationship Id="rId9" Type="http://schemas.openxmlformats.org/officeDocument/2006/relationships/image" Target="media/image9.jpeg"/><Relationship Id="rId4" Type="http://schemas.openxmlformats.org/officeDocument/2006/relationships/image" Target="media/image4.jpeg"/><Relationship Id="rId39" Type="http://schemas.openxmlformats.org/officeDocument/2006/relationships/image" Target="media/image39.jpeg"/><Relationship Id="rId18" Type="http://schemas.openxmlformats.org/officeDocument/2006/relationships/image" Target="media/image18.png"/><Relationship Id="rId13" Type="http://schemas.openxmlformats.org/officeDocument/2006/relationships/image" Target="media/image13.png"/><Relationship Id="rId109" Type="http://schemas.openxmlformats.org/officeDocument/2006/relationships/image" Target="media/image109.jpeg"/><Relationship Id="rId97" Type="http://schemas.openxmlformats.org/officeDocument/2006/relationships/image" Target="media/image97.png"/><Relationship Id="rId76" Type="http://schemas.openxmlformats.org/officeDocument/2006/relationships/image" Target="media/image76.jpeg"/><Relationship Id="rId55" Type="http://schemas.openxmlformats.org/officeDocument/2006/relationships/image" Target="media/image55.png"/><Relationship Id="rId50" Type="http://schemas.openxmlformats.org/officeDocument/2006/relationships/image" Target="media/image50.jpeg"/><Relationship Id="rId34" Type="http://schemas.openxmlformats.org/officeDocument/2006/relationships/image" Target="media/image34.jpeg"/><Relationship Id="rId120" Type="http://schemas.openxmlformats.org/officeDocument/2006/relationships/image" Target="media/image120.jpeg"/><Relationship Id="rId104" Type="http://schemas.openxmlformats.org/officeDocument/2006/relationships/image" Target="media/image104.jpeg"/><Relationship Id="rId92" Type="http://schemas.openxmlformats.org/officeDocument/2006/relationships/image" Target="media/image92.jpeg"/><Relationship Id="rId71" Type="http://schemas.openxmlformats.org/officeDocument/2006/relationships/image" Target="media/image71.jpeg"/><Relationship Id="rId7" Type="http://schemas.openxmlformats.org/officeDocument/2006/relationships/image" Target="media/image7.jpeg"/><Relationship Id="rId29" Type="http://schemas.openxmlformats.org/officeDocument/2006/relationships/image" Target="media/image29.jpeg"/><Relationship Id="rId2" Type="http://schemas.openxmlformats.org/officeDocument/2006/relationships/image" Target="media/image2.png"/><Relationship Id="rId87" Type="http://schemas.openxmlformats.org/officeDocument/2006/relationships/image" Target="media/image87.png"/><Relationship Id="rId66" Type="http://schemas.openxmlformats.org/officeDocument/2006/relationships/image" Target="media/image66.jpeg"/><Relationship Id="rId45" Type="http://schemas.openxmlformats.org/officeDocument/2006/relationships/image" Target="media/image45.jpeg"/><Relationship Id="rId40" Type="http://schemas.openxmlformats.org/officeDocument/2006/relationships/image" Target="media/image40.png"/><Relationship Id="rId24" Type="http://schemas.openxmlformats.org/officeDocument/2006/relationships/image" Target="media/image24.jpeg"/><Relationship Id="rId115" Type="http://schemas.openxmlformats.org/officeDocument/2006/relationships/image" Target="media/image115.png"/><Relationship Id="rId110" Type="http://schemas.openxmlformats.org/officeDocument/2006/relationships/image" Target="media/image110.jpeg"/><Relationship Id="rId82" Type="http://schemas.openxmlformats.org/officeDocument/2006/relationships/image" Target="media/image82.png"/><Relationship Id="rId61" Type="http://schemas.openxmlformats.org/officeDocument/2006/relationships/image" Target="media/image61.jpeg"/><Relationship Id="rId19" Type="http://schemas.openxmlformats.org/officeDocument/2006/relationships/image" Target="media/image19.jpeg"/><Relationship Id="rId77" Type="http://schemas.openxmlformats.org/officeDocument/2006/relationships/image" Target="media/image77.jpeg"/><Relationship Id="rId56" Type="http://schemas.openxmlformats.org/officeDocument/2006/relationships/image" Target="media/image56.png"/><Relationship Id="rId35" Type="http://schemas.openxmlformats.org/officeDocument/2006/relationships/image" Target="media/image35.jpeg"/><Relationship Id="rId30" Type="http://schemas.openxmlformats.org/officeDocument/2006/relationships/image" Target="media/image30.jpeg"/><Relationship Id="rId14" Type="http://schemas.openxmlformats.org/officeDocument/2006/relationships/image" Target="media/image14.png"/><Relationship Id="rId105" Type="http://schemas.openxmlformats.org/officeDocument/2006/relationships/image" Target="media/image105.jpeg"/><Relationship Id="rId100" Type="http://schemas.openxmlformats.org/officeDocument/2006/relationships/image" Target="media/image100.jpeg"/><Relationship Id="rId98" Type="http://schemas.openxmlformats.org/officeDocument/2006/relationships/image" Target="media/image98.png"/><Relationship Id="rId93" Type="http://schemas.openxmlformats.org/officeDocument/2006/relationships/image" Target="media/image93.jpeg"/><Relationship Id="rId8" Type="http://schemas.openxmlformats.org/officeDocument/2006/relationships/image" Target="media/image8.jpeg"/><Relationship Id="rId72" Type="http://schemas.openxmlformats.org/officeDocument/2006/relationships/image" Target="media/image72.jpeg"/><Relationship Id="rId51" Type="http://schemas.openxmlformats.org/officeDocument/2006/relationships/image" Target="media/image51.jpeg"/><Relationship Id="rId121" Type="http://schemas.openxmlformats.org/officeDocument/2006/relationships/image" Target="media/image121.png"/><Relationship Id="rId3" Type="http://schemas.openxmlformats.org/officeDocument/2006/relationships/image" Target="media/image3.jpeg"/><Relationship Id="rId67" Type="http://schemas.openxmlformats.org/officeDocument/2006/relationships/image" Target="media/image67.png"/><Relationship Id="rId46" Type="http://schemas.openxmlformats.org/officeDocument/2006/relationships/image" Target="media/image46.jpeg"/><Relationship Id="rId25" Type="http://schemas.openxmlformats.org/officeDocument/2006/relationships/image" Target="media/image25.png"/><Relationship Id="rId116" Type="http://schemas.openxmlformats.org/officeDocument/2006/relationships/image" Target="media/image116.png"/><Relationship Id="rId88" Type="http://schemas.openxmlformats.org/officeDocument/2006/relationships/image" Target="media/image88.png"/><Relationship Id="rId83" Type="http://schemas.openxmlformats.org/officeDocument/2006/relationships/image" Target="media/image83.png"/><Relationship Id="rId62" Type="http://schemas.openxmlformats.org/officeDocument/2006/relationships/image" Target="media/image62.png"/><Relationship Id="rId41" Type="http://schemas.openxmlformats.org/officeDocument/2006/relationships/image" Target="media/image41.png"/><Relationship Id="rId20" Type="http://schemas.openxmlformats.org/officeDocument/2006/relationships/image" Target="media/image20.png"/><Relationship Id="rId111" Type="http://schemas.openxmlformats.org/officeDocument/2006/relationships/image" Target="media/image111.jpeg"/><Relationship Id="rId57" Type="http://schemas.openxmlformats.org/officeDocument/2006/relationships/image" Target="media/image57.png"/><Relationship Id="rId36" Type="http://schemas.openxmlformats.org/officeDocument/2006/relationships/image" Target="media/image36.jpeg"/><Relationship Id="rId15" Type="http://schemas.openxmlformats.org/officeDocument/2006/relationships/image" Target="media/image15.png"/><Relationship Id="rId106" Type="http://schemas.openxmlformats.org/officeDocument/2006/relationships/image" Target="media/image106.jpeg"/><Relationship Id="rId99" Type="http://schemas.openxmlformats.org/officeDocument/2006/relationships/image" Target="media/image99.png"/><Relationship Id="rId94" Type="http://schemas.openxmlformats.org/officeDocument/2006/relationships/image" Target="media/image94.png"/><Relationship Id="rId78" Type="http://schemas.openxmlformats.org/officeDocument/2006/relationships/image" Target="media/image78.jpeg"/><Relationship Id="rId73" Type="http://schemas.openxmlformats.org/officeDocument/2006/relationships/image" Target="media/image73.jpeg"/><Relationship Id="rId52" Type="http://schemas.openxmlformats.org/officeDocument/2006/relationships/image" Target="media/image52.jpeg"/><Relationship Id="rId31" Type="http://schemas.openxmlformats.org/officeDocument/2006/relationships/image" Target="media/image31.png"/><Relationship Id="rId122" Type="http://schemas.openxmlformats.org/officeDocument/2006/relationships/image" Target="media/image122.jpeg"/><Relationship Id="rId101" Type="http://schemas.openxmlformats.org/officeDocument/2006/relationships/image" Target="media/image101.jpeg"/><Relationship Id="rId10" Type="http://schemas.openxmlformats.org/officeDocument/2006/relationships/image" Target="media/image10.jpeg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www.wps.cn/officeDocument/2020/cellImage" Target="cellimages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alcChain" Target="calcChain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fb t="e">#NAME?</fb>
    <v>4</v>
    <v>1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9"/>
  <sheetViews>
    <sheetView workbookViewId="0">
      <pane ySplit="2" topLeftCell="A3" activePane="bottomLeft" state="frozen"/>
      <selection pane="bottomLeft" activeCell="H4" sqref="H4:I17"/>
    </sheetView>
  </sheetViews>
  <sheetFormatPr defaultColWidth="15.6640625" defaultRowHeight="100.05" customHeight="1" x14ac:dyDescent="0.25"/>
  <cols>
    <col min="1" max="1" width="4.88671875" style="4" customWidth="1"/>
    <col min="2" max="2" width="9.33203125" style="4" customWidth="1"/>
    <col min="3" max="3" width="14.88671875" style="4" customWidth="1"/>
    <col min="4" max="4" width="15.6640625" style="4" customWidth="1"/>
    <col min="5" max="5" width="24.44140625" style="4" customWidth="1"/>
    <col min="6" max="7" width="4.88671875" style="4" customWidth="1"/>
    <col min="8" max="9" width="6.33203125" style="4" customWidth="1"/>
    <col min="10" max="10" width="15.6640625" style="4" customWidth="1"/>
    <col min="11" max="11" width="3" style="4" customWidth="1"/>
    <col min="12" max="12" width="4.88671875" style="4" customWidth="1"/>
    <col min="13" max="15" width="15.6640625" style="4" customWidth="1"/>
    <col min="16" max="16" width="37.21875" style="4" customWidth="1"/>
    <col min="17" max="18" width="4.88671875" style="4" customWidth="1"/>
    <col min="19" max="19" width="6.33203125" style="4" customWidth="1"/>
    <col min="20" max="20" width="7.33203125" style="4" customWidth="1"/>
    <col min="21" max="21" width="14.6640625" style="4" customWidth="1"/>
    <col min="22" max="16378" width="15.6640625" style="4" customWidth="1"/>
    <col min="16379" max="16384" width="15.6640625" style="4"/>
  </cols>
  <sheetData>
    <row r="1" spans="1:21" ht="30" customHeight="1" x14ac:dyDescent="0.25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  <c r="L1" s="89" t="s">
        <v>1</v>
      </c>
      <c r="M1" s="90"/>
      <c r="N1" s="90"/>
      <c r="O1" s="90"/>
      <c r="P1" s="90"/>
      <c r="Q1" s="90"/>
      <c r="R1" s="90"/>
      <c r="S1" s="90"/>
      <c r="T1" s="90"/>
      <c r="U1" s="91"/>
    </row>
    <row r="2" spans="1:21" ht="30" customHeight="1" x14ac:dyDescent="0.25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8" t="s">
        <v>11</v>
      </c>
      <c r="K2" s="9"/>
      <c r="L2" s="6" t="s">
        <v>2</v>
      </c>
      <c r="M2" s="6" t="s">
        <v>3</v>
      </c>
      <c r="N2" s="6" t="s">
        <v>4</v>
      </c>
      <c r="O2" s="6" t="s">
        <v>5</v>
      </c>
      <c r="P2" s="6" t="s">
        <v>6</v>
      </c>
      <c r="Q2" s="6" t="s">
        <v>7</v>
      </c>
      <c r="R2" s="6" t="s">
        <v>8</v>
      </c>
      <c r="S2" s="6" t="s">
        <v>9</v>
      </c>
      <c r="T2" s="6" t="s">
        <v>10</v>
      </c>
      <c r="U2" s="8" t="s">
        <v>11</v>
      </c>
    </row>
    <row r="3" spans="1:21" ht="19.95" customHeight="1" x14ac:dyDescent="0.25">
      <c r="A3" s="86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10"/>
      <c r="L3" s="83" t="s">
        <v>12</v>
      </c>
      <c r="M3" s="84"/>
      <c r="N3" s="84"/>
      <c r="O3" s="84"/>
      <c r="P3" s="84"/>
      <c r="Q3" s="84"/>
      <c r="R3" s="84"/>
      <c r="S3" s="84"/>
      <c r="T3" s="84"/>
      <c r="U3" s="84"/>
    </row>
    <row r="4" spans="1:21" ht="100.05" customHeight="1" x14ac:dyDescent="0.25">
      <c r="A4" s="11">
        <v>1</v>
      </c>
      <c r="B4" s="12" t="s">
        <v>13</v>
      </c>
      <c r="C4" s="12" t="s">
        <v>14</v>
      </c>
      <c r="D4" s="13" t="str">
        <f>_xlfn.DISPIMG("ID_D39D56CD49FB48F59A63CC1237A794E3",1)</f>
        <v>=DISPIMG("ID_D39D56CD49FB48F59A63CC1237A794E3",1)</v>
      </c>
      <c r="E4" s="37" t="s">
        <v>15</v>
      </c>
      <c r="F4" s="11">
        <v>1</v>
      </c>
      <c r="G4" s="12" t="s">
        <v>16</v>
      </c>
      <c r="H4" s="11">
        <v>24750</v>
      </c>
      <c r="I4" s="11">
        <v>24750</v>
      </c>
      <c r="J4" s="13"/>
      <c r="K4" s="15"/>
      <c r="L4" s="11">
        <v>1</v>
      </c>
      <c r="M4" s="12" t="s">
        <v>17</v>
      </c>
      <c r="N4" s="13" t="str">
        <f>_xlfn.DISPIMG("ID_1C8659CAB841436DA2979C35145C63AF",1)</f>
        <v>=DISPIMG("ID_1C8659CAB841436DA2979C35145C63AF",1)</v>
      </c>
      <c r="O4" s="12" t="s">
        <v>18</v>
      </c>
      <c r="P4" s="37" t="s">
        <v>19</v>
      </c>
      <c r="Q4" s="11">
        <v>1</v>
      </c>
      <c r="R4" s="12" t="s">
        <v>16</v>
      </c>
      <c r="S4" s="11">
        <v>8500</v>
      </c>
      <c r="T4" s="11">
        <v>8500</v>
      </c>
      <c r="U4" s="13"/>
    </row>
    <row r="5" spans="1:21" ht="100.05" customHeight="1" x14ac:dyDescent="0.25">
      <c r="A5" s="11">
        <v>2</v>
      </c>
      <c r="B5" s="12" t="s">
        <v>20</v>
      </c>
      <c r="C5" s="12" t="s">
        <v>21</v>
      </c>
      <c r="D5" s="13" t="str">
        <f>_xlfn.DISPIMG("ID_8F047612C3D34BD2BCD21350C95A73F1",1)</f>
        <v>=DISPIMG("ID_8F047612C3D34BD2BCD21350C95A73F1",1)</v>
      </c>
      <c r="E5" s="37" t="s">
        <v>22</v>
      </c>
      <c r="F5" s="11">
        <v>1</v>
      </c>
      <c r="G5" s="12" t="s">
        <v>16</v>
      </c>
      <c r="H5" s="11">
        <v>2766</v>
      </c>
      <c r="I5" s="11">
        <v>2766</v>
      </c>
      <c r="J5" s="13"/>
      <c r="K5" s="15"/>
      <c r="L5" s="11">
        <v>2</v>
      </c>
      <c r="M5" s="12" t="s">
        <v>23</v>
      </c>
      <c r="N5" s="13" t="str">
        <f>_xlfn.DISPIMG("ID_EB05D246355E4EBBA331A9F9E508EF45",1)</f>
        <v>=DISPIMG("ID_EB05D246355E4EBBA331A9F9E508EF45",1)</v>
      </c>
      <c r="O5" s="12" t="s">
        <v>24</v>
      </c>
      <c r="P5" s="38" t="s">
        <v>25</v>
      </c>
      <c r="Q5" s="11">
        <v>1</v>
      </c>
      <c r="R5" s="12" t="s">
        <v>16</v>
      </c>
      <c r="S5" s="11">
        <v>1800</v>
      </c>
      <c r="T5" s="11">
        <v>1800</v>
      </c>
      <c r="U5" s="13"/>
    </row>
    <row r="6" spans="1:21" ht="100.05" customHeight="1" x14ac:dyDescent="0.25">
      <c r="A6" s="11">
        <v>3</v>
      </c>
      <c r="B6" s="12" t="s">
        <v>26</v>
      </c>
      <c r="C6" s="12" t="s">
        <v>21</v>
      </c>
      <c r="D6" s="13" t="str">
        <f>_xlfn.DISPIMG("ID_5F9734CB03224153AF80F4155494520E",1)</f>
        <v>=DISPIMG("ID_5F9734CB03224153AF80F4155494520E",1)</v>
      </c>
      <c r="E6" s="37" t="s">
        <v>22</v>
      </c>
      <c r="F6" s="11">
        <v>2</v>
      </c>
      <c r="G6" s="12" t="s">
        <v>16</v>
      </c>
      <c r="H6" s="11">
        <v>2545</v>
      </c>
      <c r="I6" s="11">
        <v>5090</v>
      </c>
      <c r="J6" s="13"/>
      <c r="K6" s="15"/>
      <c r="L6" s="11">
        <v>3</v>
      </c>
      <c r="M6" s="12" t="s">
        <v>26</v>
      </c>
      <c r="N6" s="13" t="str">
        <f>_xlfn.DISPIMG("ID_AD146F75FF6D47549254587DB1FE0121",1)</f>
        <v>=DISPIMG("ID_AD146F75FF6D47549254587DB1FE0121",1)</v>
      </c>
      <c r="O6" s="12" t="s">
        <v>24</v>
      </c>
      <c r="P6" s="37" t="s">
        <v>27</v>
      </c>
      <c r="Q6" s="11">
        <v>2</v>
      </c>
      <c r="R6" s="12" t="s">
        <v>16</v>
      </c>
      <c r="S6" s="11">
        <v>1200</v>
      </c>
      <c r="T6" s="11">
        <v>2400</v>
      </c>
      <c r="U6" s="13"/>
    </row>
    <row r="7" spans="1:21" ht="100.05" customHeight="1" x14ac:dyDescent="0.25">
      <c r="A7" s="11">
        <v>4</v>
      </c>
      <c r="B7" s="12" t="s">
        <v>28</v>
      </c>
      <c r="C7" s="12" t="s">
        <v>29</v>
      </c>
      <c r="D7" s="77" t="str">
        <f>_xlfn.DISPIMG("ID_DA84EC65895F4167B33804180FD33E98",1)</f>
        <v>=DISPIMG("ID_DA84EC65895F4167B33804180FD33E98",1)</v>
      </c>
      <c r="E7" s="37" t="s">
        <v>30</v>
      </c>
      <c r="F7" s="11">
        <v>1</v>
      </c>
      <c r="G7" s="12" t="s">
        <v>16</v>
      </c>
      <c r="H7" s="11">
        <v>15500</v>
      </c>
      <c r="I7" s="11">
        <v>15500</v>
      </c>
      <c r="J7" s="13"/>
      <c r="K7" s="15"/>
      <c r="L7" s="11">
        <v>4</v>
      </c>
      <c r="M7" s="12" t="s">
        <v>31</v>
      </c>
      <c r="N7" s="13" t="str">
        <f>_xlfn.DISPIMG("ID_954A063B8B034FA2AEDE799D017C0A3B",1)</f>
        <v>=DISPIMG("ID_954A063B8B034FA2AEDE799D017C0A3B",1)</v>
      </c>
      <c r="O7" s="12" t="s">
        <v>32</v>
      </c>
      <c r="P7" s="37" t="s">
        <v>19</v>
      </c>
      <c r="Q7" s="11">
        <v>1</v>
      </c>
      <c r="R7" s="12" t="s">
        <v>16</v>
      </c>
      <c r="S7" s="11">
        <v>23500</v>
      </c>
      <c r="T7" s="11">
        <v>23500</v>
      </c>
      <c r="U7" s="13"/>
    </row>
    <row r="8" spans="1:21" ht="100.05" customHeight="1" x14ac:dyDescent="0.25">
      <c r="A8" s="11">
        <v>5</v>
      </c>
      <c r="B8" s="12" t="s">
        <v>33</v>
      </c>
      <c r="C8" s="12" t="s">
        <v>21</v>
      </c>
      <c r="D8" s="77"/>
      <c r="E8" s="37" t="s">
        <v>34</v>
      </c>
      <c r="F8" s="11">
        <v>6</v>
      </c>
      <c r="G8" s="12" t="s">
        <v>16</v>
      </c>
      <c r="H8" s="11">
        <v>3395</v>
      </c>
      <c r="I8" s="11">
        <v>20370</v>
      </c>
      <c r="J8" s="13"/>
      <c r="K8" s="15"/>
      <c r="L8" s="11">
        <v>5</v>
      </c>
      <c r="M8" s="12" t="s">
        <v>28</v>
      </c>
      <c r="N8" s="13" t="str">
        <f>_xlfn.DISPIMG("ID_501D1F209DFA424EA52A9F924C087FAC",1)</f>
        <v>=DISPIMG("ID_501D1F209DFA424EA52A9F924C087FAC",1)</v>
      </c>
      <c r="O8" s="12" t="s">
        <v>35</v>
      </c>
      <c r="P8" s="37" t="s">
        <v>36</v>
      </c>
      <c r="Q8" s="11">
        <v>1</v>
      </c>
      <c r="R8" s="12" t="s">
        <v>16</v>
      </c>
      <c r="S8" s="11">
        <v>4500</v>
      </c>
      <c r="T8" s="11">
        <v>4500</v>
      </c>
      <c r="U8" s="13"/>
    </row>
    <row r="9" spans="1:21" ht="100.05" customHeight="1" x14ac:dyDescent="0.25">
      <c r="A9" s="11">
        <v>6</v>
      </c>
      <c r="B9" s="12" t="s">
        <v>37</v>
      </c>
      <c r="C9" s="12" t="s">
        <v>38</v>
      </c>
      <c r="D9" s="13" t="str">
        <f>_xlfn.DISPIMG("ID_D2DBC2FE6CA64566998BE7BC289B54EE",1)</f>
        <v>=DISPIMG("ID_D2DBC2FE6CA64566998BE7BC289B54EE",1)</v>
      </c>
      <c r="E9" s="37" t="s">
        <v>39</v>
      </c>
      <c r="F9" s="11">
        <v>1</v>
      </c>
      <c r="G9" s="12" t="s">
        <v>16</v>
      </c>
      <c r="H9" s="11">
        <v>4356</v>
      </c>
      <c r="I9" s="11">
        <v>4356</v>
      </c>
      <c r="J9" s="13"/>
      <c r="K9" s="15"/>
      <c r="L9" s="11">
        <v>6</v>
      </c>
      <c r="M9" s="12" t="s">
        <v>40</v>
      </c>
      <c r="N9" s="13" t="str">
        <f>_xlfn.DISPIMG("ID_D2CACAC368E24319815C2D4AA0F44076",1)</f>
        <v>=DISPIMG("ID_D2CACAC368E24319815C2D4AA0F44076",1)</v>
      </c>
      <c r="O9" s="12" t="s">
        <v>21</v>
      </c>
      <c r="P9" s="37" t="s">
        <v>41</v>
      </c>
      <c r="Q9" s="11">
        <v>8</v>
      </c>
      <c r="R9" s="12" t="s">
        <v>16</v>
      </c>
      <c r="S9" s="11">
        <v>1360</v>
      </c>
      <c r="T9" s="11">
        <v>10880</v>
      </c>
      <c r="U9" s="13"/>
    </row>
    <row r="10" spans="1:21" ht="100.05" customHeight="1" x14ac:dyDescent="0.25">
      <c r="A10" s="11">
        <v>7</v>
      </c>
      <c r="B10" s="12" t="s">
        <v>42</v>
      </c>
      <c r="C10" s="12" t="s">
        <v>43</v>
      </c>
      <c r="D10" s="77" t="str">
        <f>_xlfn.DISPIMG("ID_CDF006106F1443028DDEE1DFA20DFF6B",1)</f>
        <v>=DISPIMG("ID_CDF006106F1443028DDEE1DFA20DFF6B",1)</v>
      </c>
      <c r="E10" s="79" t="s">
        <v>44</v>
      </c>
      <c r="F10" s="11">
        <v>1</v>
      </c>
      <c r="G10" s="12" t="s">
        <v>16</v>
      </c>
      <c r="H10" s="11">
        <v>11220</v>
      </c>
      <c r="I10" s="11">
        <v>11220</v>
      </c>
      <c r="J10" s="13"/>
      <c r="K10" s="15"/>
      <c r="L10" s="11">
        <v>7</v>
      </c>
      <c r="M10" s="12" t="s">
        <v>45</v>
      </c>
      <c r="N10" s="77" t="str">
        <f>_xlfn.DISPIMG("ID_4AADA9D4F77A4312BB1BB2D3A14FBEDA",1)</f>
        <v>=DISPIMG("ID_4AADA9D4F77A4312BB1BB2D3A14FBEDA",1)</v>
      </c>
      <c r="O10" s="12" t="s">
        <v>46</v>
      </c>
      <c r="P10" s="79" t="s">
        <v>47</v>
      </c>
      <c r="Q10" s="11">
        <v>1</v>
      </c>
      <c r="R10" s="12" t="s">
        <v>16</v>
      </c>
      <c r="S10" s="11">
        <v>3800</v>
      </c>
      <c r="T10" s="11">
        <v>3800</v>
      </c>
      <c r="U10" s="13"/>
    </row>
    <row r="11" spans="1:21" ht="100.05" customHeight="1" x14ac:dyDescent="0.25">
      <c r="A11" s="11">
        <v>8</v>
      </c>
      <c r="B11" s="12" t="s">
        <v>42</v>
      </c>
      <c r="C11" s="12" t="s">
        <v>48</v>
      </c>
      <c r="D11" s="77"/>
      <c r="E11" s="80"/>
      <c r="F11" s="11">
        <v>1</v>
      </c>
      <c r="G11" s="12" t="s">
        <v>16</v>
      </c>
      <c r="H11" s="11">
        <v>7425</v>
      </c>
      <c r="I11" s="11">
        <v>7425</v>
      </c>
      <c r="J11" s="13"/>
      <c r="K11" s="15"/>
      <c r="L11" s="11">
        <v>8</v>
      </c>
      <c r="M11" s="12" t="s">
        <v>49</v>
      </c>
      <c r="N11" s="77"/>
      <c r="O11" s="12" t="s">
        <v>50</v>
      </c>
      <c r="P11" s="80"/>
      <c r="Q11" s="11">
        <v>1</v>
      </c>
      <c r="R11" s="12" t="s">
        <v>16</v>
      </c>
      <c r="S11" s="11">
        <v>3000</v>
      </c>
      <c r="T11" s="11">
        <v>3000</v>
      </c>
      <c r="U11" s="13"/>
    </row>
    <row r="12" spans="1:21" ht="100.05" customHeight="1" x14ac:dyDescent="0.25">
      <c r="A12" s="11">
        <v>9</v>
      </c>
      <c r="B12" s="12" t="s">
        <v>51</v>
      </c>
      <c r="C12" s="12" t="s">
        <v>21</v>
      </c>
      <c r="D12" s="13" t="str">
        <f>_xlfn.DISPIMG("ID_627CD400954844478C0F12213850A954",1)</f>
        <v>=DISPIMG("ID_627CD400954844478C0F12213850A954",1)</v>
      </c>
      <c r="E12" s="37" t="s">
        <v>52</v>
      </c>
      <c r="F12" s="11">
        <v>1</v>
      </c>
      <c r="G12" s="12" t="s">
        <v>16</v>
      </c>
      <c r="H12" s="11">
        <v>5720</v>
      </c>
      <c r="I12" s="11">
        <v>5720</v>
      </c>
      <c r="J12" s="13"/>
      <c r="K12" s="15"/>
      <c r="L12" s="11">
        <v>9</v>
      </c>
      <c r="M12" s="12" t="s">
        <v>53</v>
      </c>
      <c r="N12" s="77"/>
      <c r="O12" s="12" t="s">
        <v>21</v>
      </c>
      <c r="P12" s="80"/>
      <c r="Q12" s="11">
        <v>2</v>
      </c>
      <c r="R12" s="12" t="s">
        <v>16</v>
      </c>
      <c r="S12" s="11">
        <v>1980</v>
      </c>
      <c r="T12" s="11">
        <v>3960</v>
      </c>
      <c r="U12" s="13"/>
    </row>
    <row r="13" spans="1:21" ht="100.05" customHeight="1" x14ac:dyDescent="0.25">
      <c r="A13" s="11">
        <v>10</v>
      </c>
      <c r="B13" s="12" t="s">
        <v>54</v>
      </c>
      <c r="C13" s="12" t="s">
        <v>55</v>
      </c>
      <c r="D13" s="13" t="str">
        <f>_xlfn.DISPIMG("ID_8A200BFBAF99480CA301A4C5E5E1C397",1)</f>
        <v>=DISPIMG("ID_8A200BFBAF99480CA301A4C5E5E1C397",1)</v>
      </c>
      <c r="E13" s="37" t="s">
        <v>56</v>
      </c>
      <c r="F13" s="11">
        <v>1</v>
      </c>
      <c r="G13" s="12" t="s">
        <v>16</v>
      </c>
      <c r="H13" s="11">
        <v>3267</v>
      </c>
      <c r="I13" s="11">
        <v>3267</v>
      </c>
      <c r="J13" s="13"/>
      <c r="K13" s="15"/>
      <c r="L13" s="16" t="s">
        <v>57</v>
      </c>
      <c r="M13" s="12" t="s">
        <v>54</v>
      </c>
      <c r="N13" s="13" t="str">
        <f>_xlfn.DISPIMG("ID_46A3472BEDCA4A6A8933FBC0FA4B396C",1)</f>
        <v>=DISPIMG("ID_46A3472BEDCA4A6A8933FBC0FA4B396C",1)</v>
      </c>
      <c r="O13" s="12" t="s">
        <v>58</v>
      </c>
      <c r="P13" s="37" t="s">
        <v>36</v>
      </c>
      <c r="Q13" s="11">
        <v>1</v>
      </c>
      <c r="R13" s="12" t="s">
        <v>16</v>
      </c>
      <c r="S13" s="11">
        <v>2500</v>
      </c>
      <c r="T13" s="11">
        <v>2500</v>
      </c>
      <c r="U13" s="13"/>
    </row>
    <row r="14" spans="1:21" ht="100.05" customHeight="1" x14ac:dyDescent="0.25">
      <c r="A14" s="11">
        <v>11</v>
      </c>
      <c r="B14" s="12" t="s">
        <v>54</v>
      </c>
      <c r="C14" s="12" t="s">
        <v>59</v>
      </c>
      <c r="D14" s="13" t="str">
        <f>_xlfn.DISPIMG("ID_23D693BEF2CE488385EE5E3DA6BE102E",1)</f>
        <v>=DISPIMG("ID_23D693BEF2CE488385EE5E3DA6BE102E",1)</v>
      </c>
      <c r="E14" s="37" t="s">
        <v>56</v>
      </c>
      <c r="F14" s="11">
        <v>1</v>
      </c>
      <c r="G14" s="12" t="s">
        <v>16</v>
      </c>
      <c r="H14" s="11">
        <v>1564</v>
      </c>
      <c r="I14" s="11">
        <v>1564</v>
      </c>
      <c r="J14" s="13"/>
      <c r="K14" s="15"/>
      <c r="L14" s="16" t="s">
        <v>60</v>
      </c>
      <c r="M14" s="12" t="s">
        <v>61</v>
      </c>
      <c r="N14" s="13" t="str">
        <f>_xlfn.DISPIMG("ID_BA2B0328F0604048B7E77F7334A38918",1)</f>
        <v>=DISPIMG("ID_BA2B0328F0604048B7E77F7334A38918",1)</v>
      </c>
      <c r="O14" s="12" t="s">
        <v>62</v>
      </c>
      <c r="P14" s="37" t="s">
        <v>36</v>
      </c>
      <c r="Q14" s="11">
        <v>2</v>
      </c>
      <c r="R14" s="12" t="s">
        <v>16</v>
      </c>
      <c r="S14" s="11">
        <v>1600</v>
      </c>
      <c r="T14" s="11">
        <v>3200</v>
      </c>
      <c r="U14" s="13"/>
    </row>
    <row r="15" spans="1:21" ht="100.05" customHeight="1" x14ac:dyDescent="0.25">
      <c r="A15" s="17">
        <v>12</v>
      </c>
      <c r="B15" s="18" t="s">
        <v>63</v>
      </c>
      <c r="C15" s="18" t="s">
        <v>64</v>
      </c>
      <c r="D15" s="19" t="str">
        <f>_xlfn.DISPIMG("ID_B3FEAD60966B473AA51679E9E9C15944",1)</f>
        <v>=DISPIMG("ID_B3FEAD60966B473AA51679E9E9C15944",1)</v>
      </c>
      <c r="E15" s="18" t="s">
        <v>65</v>
      </c>
      <c r="F15" s="17">
        <v>1</v>
      </c>
      <c r="G15" s="18" t="s">
        <v>16</v>
      </c>
      <c r="H15" s="17">
        <v>5148</v>
      </c>
      <c r="I15" s="17">
        <v>5148</v>
      </c>
      <c r="J15" s="19"/>
      <c r="K15" s="15"/>
      <c r="L15" s="16" t="s">
        <v>66</v>
      </c>
      <c r="M15" s="12" t="s">
        <v>67</v>
      </c>
      <c r="N15" s="13" t="str">
        <f>_xlfn.DISPIMG("ID_6CB0FE4F548141A68DC84BC0A4B2A68C",1)</f>
        <v>=DISPIMG("ID_6CB0FE4F548141A68DC84BC0A4B2A68C",1)</v>
      </c>
      <c r="O15" s="12" t="s">
        <v>68</v>
      </c>
      <c r="P15" s="37" t="s">
        <v>69</v>
      </c>
      <c r="Q15" s="11">
        <v>1</v>
      </c>
      <c r="R15" s="12" t="s">
        <v>70</v>
      </c>
      <c r="S15" s="11">
        <v>9500</v>
      </c>
      <c r="T15" s="11">
        <v>9500</v>
      </c>
      <c r="U15" s="13"/>
    </row>
    <row r="16" spans="1:21" ht="100.05" customHeight="1" x14ac:dyDescent="0.25">
      <c r="A16" s="17">
        <v>13</v>
      </c>
      <c r="B16" s="18" t="s">
        <v>71</v>
      </c>
      <c r="C16" s="18" t="s">
        <v>72</v>
      </c>
      <c r="D16" s="19"/>
      <c r="E16" s="18" t="s">
        <v>73</v>
      </c>
      <c r="F16" s="17">
        <v>1</v>
      </c>
      <c r="G16" s="18" t="s">
        <v>16</v>
      </c>
      <c r="H16" s="17">
        <v>2700</v>
      </c>
      <c r="I16" s="17">
        <v>2700</v>
      </c>
      <c r="J16" s="19"/>
      <c r="K16" s="15"/>
      <c r="L16" s="16" t="s">
        <v>74</v>
      </c>
      <c r="M16" s="12" t="s">
        <v>75</v>
      </c>
      <c r="N16" s="13" t="str">
        <f>_xlfn.DISPIMG("ID_C7FB6CC1EC104AF5AB3ABF07A4DBD3DC",1)</f>
        <v>=DISPIMG("ID_C7FB6CC1EC104AF5AB3ABF07A4DBD3DC",1)</v>
      </c>
      <c r="O16" s="12" t="s">
        <v>76</v>
      </c>
      <c r="P16" s="37" t="s">
        <v>69</v>
      </c>
      <c r="Q16" s="11">
        <v>1</v>
      </c>
      <c r="R16" s="12" t="s">
        <v>70</v>
      </c>
      <c r="S16" s="11">
        <v>4450</v>
      </c>
      <c r="T16" s="11">
        <v>4450</v>
      </c>
      <c r="U16" s="13"/>
    </row>
    <row r="17" spans="1:21" ht="100.05" customHeight="1" x14ac:dyDescent="0.25">
      <c r="A17" s="17">
        <v>14</v>
      </c>
      <c r="B17" s="18" t="s">
        <v>77</v>
      </c>
      <c r="C17" s="18" t="s">
        <v>78</v>
      </c>
      <c r="D17" s="19"/>
      <c r="E17" s="18" t="s">
        <v>79</v>
      </c>
      <c r="F17" s="17">
        <v>2</v>
      </c>
      <c r="G17" s="18" t="s">
        <v>80</v>
      </c>
      <c r="H17" s="17">
        <v>693</v>
      </c>
      <c r="I17" s="17">
        <v>1386</v>
      </c>
      <c r="J17" s="19"/>
      <c r="K17" s="15"/>
      <c r="L17" s="11">
        <v>14</v>
      </c>
      <c r="M17" s="12" t="s">
        <v>81</v>
      </c>
      <c r="N17" s="13" t="str">
        <f>_xlfn.DISPIMG("ID_F7ACAABD1C5944C5954452766FA12663",1)</f>
        <v>=DISPIMG("ID_F7ACAABD1C5944C5954452766FA12663",1)</v>
      </c>
      <c r="O17" s="12" t="s">
        <v>82</v>
      </c>
      <c r="P17" s="37" t="s">
        <v>83</v>
      </c>
      <c r="Q17" s="11">
        <v>1</v>
      </c>
      <c r="R17" s="12" t="s">
        <v>16</v>
      </c>
      <c r="S17" s="11">
        <v>4500</v>
      </c>
      <c r="T17" s="11">
        <v>4500</v>
      </c>
      <c r="U17" s="13"/>
    </row>
    <row r="18" spans="1:21" ht="100.05" customHeigh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3"/>
      <c r="L18" s="11">
        <v>15</v>
      </c>
      <c r="M18" s="12" t="s">
        <v>77</v>
      </c>
      <c r="N18" s="13" t="str">
        <f>_xlfn.DISPIMG("ID_1688C2C104114AF0AB690A344ADB8DF1",1)</f>
        <v>=DISPIMG("ID_1688C2C104114AF0AB690A344ADB8DF1",1)</v>
      </c>
      <c r="O18" s="12" t="s">
        <v>84</v>
      </c>
      <c r="P18" s="37" t="s">
        <v>36</v>
      </c>
      <c r="Q18" s="11">
        <v>2</v>
      </c>
      <c r="R18" s="12" t="s">
        <v>80</v>
      </c>
      <c r="S18" s="11">
        <v>750</v>
      </c>
      <c r="T18" s="11">
        <v>1500</v>
      </c>
      <c r="U18" s="13"/>
    </row>
    <row r="19" spans="1:21" ht="19.95" customHeight="1" x14ac:dyDescent="0.25">
      <c r="A19" s="86" t="s">
        <v>85</v>
      </c>
      <c r="B19" s="84"/>
      <c r="C19" s="84"/>
      <c r="D19" s="84"/>
      <c r="E19" s="84"/>
      <c r="F19" s="84"/>
      <c r="G19" s="84"/>
      <c r="H19" s="84"/>
      <c r="I19" s="84"/>
      <c r="J19" s="84"/>
      <c r="L19" s="83" t="s">
        <v>85</v>
      </c>
      <c r="M19" s="84"/>
      <c r="N19" s="84"/>
      <c r="O19" s="84"/>
      <c r="P19" s="84"/>
      <c r="Q19" s="84"/>
      <c r="R19" s="84"/>
      <c r="S19" s="84"/>
      <c r="T19" s="84"/>
      <c r="U19" s="84"/>
    </row>
    <row r="20" spans="1:21" ht="100.05" customHeight="1" x14ac:dyDescent="0.25">
      <c r="A20" s="11">
        <v>1</v>
      </c>
      <c r="B20" s="12" t="s">
        <v>13</v>
      </c>
      <c r="C20" s="12" t="s">
        <v>86</v>
      </c>
      <c r="D20" s="13" t="str">
        <f>_xlfn.DISPIMG("ID_208FCD6E7E64483FA1BB840146878BC0",1)</f>
        <v>=DISPIMG("ID_208FCD6E7E64483FA1BB840146878BC0",1)</v>
      </c>
      <c r="E20" s="37" t="s">
        <v>87</v>
      </c>
      <c r="F20" s="11">
        <v>1</v>
      </c>
      <c r="G20" s="12" t="s">
        <v>16</v>
      </c>
      <c r="H20" s="11">
        <v>19397</v>
      </c>
      <c r="I20" s="11">
        <v>19397</v>
      </c>
      <c r="J20" s="24"/>
      <c r="K20" s="10"/>
      <c r="L20" s="11">
        <v>1</v>
      </c>
      <c r="M20" s="12" t="s">
        <v>17</v>
      </c>
      <c r="N20" s="13" t="str">
        <f>_xlfn.DISPIMG("ID_B67886C6FD9346FA9D640ACD2C62E893",1)</f>
        <v>=DISPIMG("ID_B67886C6FD9346FA9D640ACD2C62E893",1)</v>
      </c>
      <c r="O20" s="12" t="s">
        <v>18</v>
      </c>
      <c r="P20" s="37" t="s">
        <v>19</v>
      </c>
      <c r="Q20" s="11">
        <v>1</v>
      </c>
      <c r="R20" s="12" t="s">
        <v>16</v>
      </c>
      <c r="S20" s="11">
        <v>8500</v>
      </c>
      <c r="T20" s="11">
        <v>8500</v>
      </c>
      <c r="U20" s="24"/>
    </row>
    <row r="21" spans="1:21" ht="100.05" customHeight="1" x14ac:dyDescent="0.25">
      <c r="A21" s="11">
        <v>2</v>
      </c>
      <c r="B21" s="12" t="s">
        <v>20</v>
      </c>
      <c r="C21" s="12" t="s">
        <v>88</v>
      </c>
      <c r="D21" s="13" t="str">
        <f>_xlfn.DISPIMG("ID_B6CA991F545140C7BD0375593EA5D78D",1)</f>
        <v>=DISPIMG("ID_B6CA991F545140C7BD0375593EA5D78D",1)</v>
      </c>
      <c r="E21" s="37" t="s">
        <v>89</v>
      </c>
      <c r="F21" s="11">
        <v>1</v>
      </c>
      <c r="G21" s="12" t="s">
        <v>16</v>
      </c>
      <c r="H21" s="11">
        <v>2830</v>
      </c>
      <c r="I21" s="11">
        <v>2830</v>
      </c>
      <c r="J21" s="24"/>
      <c r="L21" s="11">
        <v>2</v>
      </c>
      <c r="M21" s="12" t="s">
        <v>23</v>
      </c>
      <c r="N21" s="13" t="str">
        <f>_xlfn.DISPIMG("ID_B924EA56E8074E54AFDE73D1CA34DB68",1)</f>
        <v>=DISPIMG("ID_B924EA56E8074E54AFDE73D1CA34DB68",1)</v>
      </c>
      <c r="O21" s="12" t="s">
        <v>24</v>
      </c>
      <c r="P21" s="38" t="s">
        <v>25</v>
      </c>
      <c r="Q21" s="11">
        <v>1</v>
      </c>
      <c r="R21" s="12" t="s">
        <v>16</v>
      </c>
      <c r="S21" s="11">
        <v>1800</v>
      </c>
      <c r="T21" s="11">
        <v>1800</v>
      </c>
      <c r="U21" s="24"/>
    </row>
    <row r="22" spans="1:21" ht="100.05" customHeight="1" x14ac:dyDescent="0.25">
      <c r="A22" s="11">
        <v>3</v>
      </c>
      <c r="B22" s="12" t="s">
        <v>26</v>
      </c>
      <c r="C22" s="12" t="s">
        <v>90</v>
      </c>
      <c r="D22" s="13" t="str">
        <f>_xlfn.DISPIMG("ID_F31F309DBC64422C9594BD49891E8EFB",1)</f>
        <v>=DISPIMG("ID_F31F309DBC64422C9594BD49891E8EFB",1)</v>
      </c>
      <c r="E22" s="37" t="s">
        <v>89</v>
      </c>
      <c r="F22" s="11">
        <v>2</v>
      </c>
      <c r="G22" s="12" t="s">
        <v>16</v>
      </c>
      <c r="H22" s="11">
        <v>2620</v>
      </c>
      <c r="I22" s="11">
        <v>5240</v>
      </c>
      <c r="J22" s="24"/>
      <c r="L22" s="11">
        <v>3</v>
      </c>
      <c r="M22" s="12" t="s">
        <v>26</v>
      </c>
      <c r="N22" s="13" t="str">
        <f>_xlfn.DISPIMG("ID_C5BEC9C0B3294CB1B1F2A45C25A4148F",1)</f>
        <v>=DISPIMG("ID_C5BEC9C0B3294CB1B1F2A45C25A4148F",1)</v>
      </c>
      <c r="O22" s="12" t="s">
        <v>24</v>
      </c>
      <c r="P22" s="37" t="s">
        <v>27</v>
      </c>
      <c r="Q22" s="11">
        <v>2</v>
      </c>
      <c r="R22" s="12" t="s">
        <v>16</v>
      </c>
      <c r="S22" s="11">
        <v>1200</v>
      </c>
      <c r="T22" s="11">
        <v>2400</v>
      </c>
      <c r="U22" s="24"/>
    </row>
    <row r="23" spans="1:21" ht="100.05" customHeight="1" x14ac:dyDescent="0.25">
      <c r="A23" s="11">
        <v>4</v>
      </c>
      <c r="B23" s="12" t="s">
        <v>42</v>
      </c>
      <c r="C23" s="12" t="s">
        <v>43</v>
      </c>
      <c r="D23" s="77" t="str">
        <f>_xlfn.DISPIMG("ID_A371DCB7B6B24D4984F414E4BE22DDD7",1)</f>
        <v>=DISPIMG("ID_A371DCB7B6B24D4984F414E4BE22DDD7",1)</v>
      </c>
      <c r="E23" s="79" t="s">
        <v>44</v>
      </c>
      <c r="F23" s="11">
        <v>1</v>
      </c>
      <c r="G23" s="12" t="s">
        <v>16</v>
      </c>
      <c r="H23" s="11">
        <v>11223</v>
      </c>
      <c r="I23" s="11">
        <v>11223</v>
      </c>
      <c r="J23" s="24"/>
      <c r="L23" s="11">
        <v>4</v>
      </c>
      <c r="M23" s="12" t="s">
        <v>31</v>
      </c>
      <c r="N23" s="13" t="str">
        <f>_xlfn.DISPIMG("ID_C0D21E862683492080D1E6A2D4D0AD4A",1)</f>
        <v>=DISPIMG("ID_C0D21E862683492080D1E6A2D4D0AD4A",1)</v>
      </c>
      <c r="O23" s="12" t="s">
        <v>32</v>
      </c>
      <c r="P23" s="37" t="s">
        <v>19</v>
      </c>
      <c r="Q23" s="11">
        <v>1</v>
      </c>
      <c r="R23" s="12" t="s">
        <v>16</v>
      </c>
      <c r="S23" s="11">
        <v>23500</v>
      </c>
      <c r="T23" s="11">
        <v>23500</v>
      </c>
      <c r="U23" s="24"/>
    </row>
    <row r="24" spans="1:21" ht="100.05" customHeight="1" x14ac:dyDescent="0.25">
      <c r="A24" s="11">
        <v>5</v>
      </c>
      <c r="B24" s="12" t="s">
        <v>42</v>
      </c>
      <c r="C24" s="12" t="s">
        <v>48</v>
      </c>
      <c r="D24" s="77"/>
      <c r="E24" s="80"/>
      <c r="F24" s="11">
        <v>1</v>
      </c>
      <c r="G24" s="12" t="s">
        <v>16</v>
      </c>
      <c r="H24" s="11">
        <v>7425</v>
      </c>
      <c r="I24" s="11">
        <v>7425</v>
      </c>
      <c r="J24" s="24"/>
      <c r="L24" s="11">
        <v>5</v>
      </c>
      <c r="M24" s="12" t="s">
        <v>28</v>
      </c>
      <c r="N24" s="13" t="str">
        <f>_xlfn.DISPIMG("ID_AEE9C3C079D541B8B3CA3EEB82EE5B58",1)</f>
        <v>=DISPIMG("ID_AEE9C3C079D541B8B3CA3EEB82EE5B58",1)</v>
      </c>
      <c r="O24" s="12" t="s">
        <v>35</v>
      </c>
      <c r="P24" s="37" t="s">
        <v>36</v>
      </c>
      <c r="Q24" s="11">
        <v>1</v>
      </c>
      <c r="R24" s="12" t="s">
        <v>16</v>
      </c>
      <c r="S24" s="11">
        <v>4500</v>
      </c>
      <c r="T24" s="11">
        <v>4500</v>
      </c>
      <c r="U24" s="24"/>
    </row>
    <row r="25" spans="1:21" ht="100.05" customHeight="1" x14ac:dyDescent="0.25">
      <c r="A25" s="11">
        <v>6</v>
      </c>
      <c r="B25" s="12" t="s">
        <v>51</v>
      </c>
      <c r="C25" s="12" t="s">
        <v>21</v>
      </c>
      <c r="D25" s="13" t="str">
        <f>_xlfn.DISPIMG("ID_E53E188392D146BFAF7FF72A3165A173",1)</f>
        <v>=DISPIMG("ID_E53E188392D146BFAF7FF72A3165A173",1)</v>
      </c>
      <c r="E25" s="37" t="s">
        <v>52</v>
      </c>
      <c r="F25" s="11">
        <v>1</v>
      </c>
      <c r="G25" s="12" t="s">
        <v>16</v>
      </c>
      <c r="H25" s="11">
        <v>5720</v>
      </c>
      <c r="I25" s="11">
        <v>5720</v>
      </c>
      <c r="J25" s="24"/>
      <c r="L25" s="11">
        <v>6</v>
      </c>
      <c r="M25" s="12" t="s">
        <v>40</v>
      </c>
      <c r="N25" s="13" t="str">
        <f>_xlfn.DISPIMG("ID_895A8AE0CDEE411399D189183039D6B0",1)</f>
        <v>=DISPIMG("ID_895A8AE0CDEE411399D189183039D6B0",1)</v>
      </c>
      <c r="O25" s="12" t="s">
        <v>21</v>
      </c>
      <c r="P25" s="37" t="s">
        <v>41</v>
      </c>
      <c r="Q25" s="11">
        <v>8</v>
      </c>
      <c r="R25" s="12" t="s">
        <v>16</v>
      </c>
      <c r="S25" s="11">
        <v>1360</v>
      </c>
      <c r="T25" s="11">
        <v>10880</v>
      </c>
      <c r="U25" s="24"/>
    </row>
    <row r="26" spans="1:21" ht="100.05" customHeight="1" x14ac:dyDescent="0.25">
      <c r="A26" s="11">
        <v>7</v>
      </c>
      <c r="B26" s="12" t="s">
        <v>54</v>
      </c>
      <c r="C26" s="12" t="s">
        <v>55</v>
      </c>
      <c r="D26" s="13" t="str">
        <f>_xlfn.DISPIMG("ID_A88173324CD840138893D56EFF229789",1)</f>
        <v>=DISPIMG("ID_A88173324CD840138893D56EFF229789",1)</v>
      </c>
      <c r="E26" s="37" t="s">
        <v>56</v>
      </c>
      <c r="F26" s="11">
        <v>1</v>
      </c>
      <c r="G26" s="12" t="s">
        <v>16</v>
      </c>
      <c r="H26" s="11">
        <v>3267</v>
      </c>
      <c r="I26" s="11">
        <v>3267</v>
      </c>
      <c r="J26" s="24"/>
      <c r="L26" s="11">
        <v>7</v>
      </c>
      <c r="M26" s="12" t="s">
        <v>45</v>
      </c>
      <c r="N26" s="77" t="str">
        <f>_xlfn.DISPIMG("ID_F0EC5E48BE87456CB6483C31F0445C04",1)</f>
        <v>=DISPIMG("ID_F0EC5E48BE87456CB6483C31F0445C04",1)</v>
      </c>
      <c r="O26" s="12" t="s">
        <v>46</v>
      </c>
      <c r="P26" s="79" t="s">
        <v>47</v>
      </c>
      <c r="Q26" s="11">
        <v>1</v>
      </c>
      <c r="R26" s="12" t="s">
        <v>16</v>
      </c>
      <c r="S26" s="11">
        <v>3800</v>
      </c>
      <c r="T26" s="11">
        <v>3800</v>
      </c>
      <c r="U26" s="24"/>
    </row>
    <row r="27" spans="1:21" ht="100.05" customHeight="1" x14ac:dyDescent="0.25">
      <c r="A27" s="11">
        <v>8</v>
      </c>
      <c r="B27" s="12" t="s">
        <v>54</v>
      </c>
      <c r="C27" s="12" t="s">
        <v>59</v>
      </c>
      <c r="D27" s="13" t="str">
        <f>_xlfn.DISPIMG("ID_93FE67A6854D4BDC8E8522D2A9144156",1)</f>
        <v>=DISPIMG("ID_93FE67A6854D4BDC8E8522D2A9144156",1)</v>
      </c>
      <c r="E27" s="37" t="s">
        <v>56</v>
      </c>
      <c r="F27" s="11">
        <v>1</v>
      </c>
      <c r="G27" s="12" t="s">
        <v>16</v>
      </c>
      <c r="H27" s="11">
        <v>1564</v>
      </c>
      <c r="I27" s="11">
        <v>1564</v>
      </c>
      <c r="J27" s="24"/>
      <c r="L27" s="11">
        <v>8</v>
      </c>
      <c r="M27" s="12" t="s">
        <v>49</v>
      </c>
      <c r="N27" s="77"/>
      <c r="O27" s="12" t="s">
        <v>50</v>
      </c>
      <c r="P27" s="80"/>
      <c r="Q27" s="11">
        <v>1</v>
      </c>
      <c r="R27" s="12" t="s">
        <v>16</v>
      </c>
      <c r="S27" s="11">
        <v>3000</v>
      </c>
      <c r="T27" s="11">
        <v>3000</v>
      </c>
      <c r="U27" s="24"/>
    </row>
    <row r="28" spans="1:21" ht="100.05" customHeight="1" x14ac:dyDescent="0.25">
      <c r="A28" s="11">
        <v>9</v>
      </c>
      <c r="B28" s="12" t="s">
        <v>28</v>
      </c>
      <c r="C28" s="12" t="s">
        <v>29</v>
      </c>
      <c r="D28" s="13" t="str">
        <f>_xlfn.DISPIMG("ID_619B2443FCEF4BC6A068EAEE13C8DD76",1)</f>
        <v>=DISPIMG("ID_619B2443FCEF4BC6A068EAEE13C8DD76",1)</v>
      </c>
      <c r="E28" s="37" t="s">
        <v>30</v>
      </c>
      <c r="F28" s="11">
        <v>1</v>
      </c>
      <c r="G28" s="12" t="s">
        <v>16</v>
      </c>
      <c r="H28" s="11">
        <v>9505</v>
      </c>
      <c r="I28" s="11">
        <v>9505</v>
      </c>
      <c r="J28" s="24"/>
      <c r="L28" s="11">
        <v>9</v>
      </c>
      <c r="M28" s="12" t="s">
        <v>53</v>
      </c>
      <c r="N28" s="77"/>
      <c r="O28" s="12" t="s">
        <v>21</v>
      </c>
      <c r="P28" s="80"/>
      <c r="Q28" s="11">
        <v>2</v>
      </c>
      <c r="R28" s="12" t="s">
        <v>16</v>
      </c>
      <c r="S28" s="11">
        <v>1980</v>
      </c>
      <c r="T28" s="11">
        <v>3960</v>
      </c>
      <c r="U28" s="24"/>
    </row>
    <row r="29" spans="1:21" ht="100.05" customHeight="1" x14ac:dyDescent="0.25">
      <c r="A29" s="11">
        <v>10</v>
      </c>
      <c r="B29" s="12" t="s">
        <v>33</v>
      </c>
      <c r="C29" s="12" t="s">
        <v>21</v>
      </c>
      <c r="D29" s="13" t="str">
        <f>_xlfn.DISPIMG("ID_FF9B3EFDC64B4F828534FEC755A53F7D",1)</f>
        <v>=DISPIMG("ID_FF9B3EFDC64B4F828534FEC755A53F7D",1)</v>
      </c>
      <c r="E29" s="37" t="s">
        <v>34</v>
      </c>
      <c r="F29" s="11">
        <v>6</v>
      </c>
      <c r="G29" s="12" t="s">
        <v>16</v>
      </c>
      <c r="H29" s="11">
        <v>2970</v>
      </c>
      <c r="I29" s="11">
        <v>17820</v>
      </c>
      <c r="J29" s="24"/>
      <c r="L29" s="11">
        <v>10</v>
      </c>
      <c r="M29" s="12" t="s">
        <v>54</v>
      </c>
      <c r="N29" s="13" t="str">
        <f>_xlfn.DISPIMG("ID_11C9CBFE6C7A4C9090F849877BA55B89",1)</f>
        <v>=DISPIMG("ID_11C9CBFE6C7A4C9090F849877BA55B89",1)</v>
      </c>
      <c r="O29" s="12" t="s">
        <v>58</v>
      </c>
      <c r="P29" s="37" t="s">
        <v>36</v>
      </c>
      <c r="Q29" s="11">
        <v>1</v>
      </c>
      <c r="R29" s="12" t="s">
        <v>16</v>
      </c>
      <c r="S29" s="11">
        <v>2500</v>
      </c>
      <c r="T29" s="11">
        <v>2500</v>
      </c>
      <c r="U29" s="24"/>
    </row>
    <row r="30" spans="1:21" ht="100.05" customHeight="1" x14ac:dyDescent="0.25">
      <c r="A30" s="11">
        <v>11</v>
      </c>
      <c r="B30" s="12" t="s">
        <v>37</v>
      </c>
      <c r="C30" s="12" t="s">
        <v>38</v>
      </c>
      <c r="D30" s="13" t="str">
        <f>_xlfn.DISPIMG("ID_3714891C20DF484DBEA97BBE333C4B39",1)</f>
        <v>=DISPIMG("ID_3714891C20DF484DBEA97BBE333C4B39",1)</v>
      </c>
      <c r="E30" s="37" t="s">
        <v>39</v>
      </c>
      <c r="F30" s="11">
        <v>1</v>
      </c>
      <c r="G30" s="12" t="s">
        <v>16</v>
      </c>
      <c r="H30" s="11">
        <v>4356</v>
      </c>
      <c r="I30" s="11">
        <v>4356</v>
      </c>
      <c r="J30" s="24"/>
      <c r="L30" s="11">
        <v>11</v>
      </c>
      <c r="M30" s="12" t="s">
        <v>61</v>
      </c>
      <c r="N30" s="13" t="str">
        <f>_xlfn.DISPIMG("ID_BE16974B3BE14B408DD9579CB4F61A1E",1)</f>
        <v>=DISPIMG("ID_BE16974B3BE14B408DD9579CB4F61A1E",1)</v>
      </c>
      <c r="O30" s="12" t="s">
        <v>62</v>
      </c>
      <c r="P30" s="37" t="s">
        <v>36</v>
      </c>
      <c r="Q30" s="11">
        <v>2</v>
      </c>
      <c r="R30" s="12" t="s">
        <v>16</v>
      </c>
      <c r="S30" s="11">
        <v>1600</v>
      </c>
      <c r="T30" s="11">
        <v>3200</v>
      </c>
      <c r="U30" s="24"/>
    </row>
    <row r="31" spans="1:21" ht="100.05" customHeight="1" x14ac:dyDescent="0.25">
      <c r="A31" s="11">
        <v>12</v>
      </c>
      <c r="B31" s="12" t="s">
        <v>63</v>
      </c>
      <c r="C31" s="12" t="s">
        <v>64</v>
      </c>
      <c r="D31" s="77" t="str">
        <f>_xlfn.DISPIMG("ID_E1AF901904944EF48A10E7D77264202C",1)</f>
        <v>=DISPIMG("ID_E1AF901904944EF48A10E7D77264202C",1)</v>
      </c>
      <c r="E31" s="37" t="s">
        <v>91</v>
      </c>
      <c r="F31" s="11">
        <v>1</v>
      </c>
      <c r="G31" s="12" t="s">
        <v>16</v>
      </c>
      <c r="H31" s="11">
        <v>3287</v>
      </c>
      <c r="I31" s="11">
        <v>3287</v>
      </c>
      <c r="J31" s="24"/>
      <c r="L31" s="16" t="s">
        <v>66</v>
      </c>
      <c r="M31" s="12" t="s">
        <v>92</v>
      </c>
      <c r="N31" s="13" t="str">
        <f>_xlfn.DISPIMG("ID_839A4005749A4083B00A6AE442C4DF11",1)</f>
        <v>=DISPIMG("ID_839A4005749A4083B00A6AE442C4DF11",1)</v>
      </c>
      <c r="O31" s="12" t="s">
        <v>93</v>
      </c>
      <c r="P31" s="37" t="s">
        <v>19</v>
      </c>
      <c r="Q31" s="11">
        <v>1</v>
      </c>
      <c r="R31" s="12" t="s">
        <v>16</v>
      </c>
      <c r="S31" s="11">
        <v>2200</v>
      </c>
      <c r="T31" s="11">
        <v>2200</v>
      </c>
      <c r="U31" s="24"/>
    </row>
    <row r="32" spans="1:21" ht="100.05" customHeight="1" x14ac:dyDescent="0.25">
      <c r="A32" s="11">
        <v>13</v>
      </c>
      <c r="B32" s="12" t="s">
        <v>71</v>
      </c>
      <c r="C32" s="12" t="s">
        <v>64</v>
      </c>
      <c r="D32" s="77"/>
      <c r="E32" s="37" t="s">
        <v>73</v>
      </c>
      <c r="F32" s="11">
        <v>1</v>
      </c>
      <c r="G32" s="12" t="s">
        <v>16</v>
      </c>
      <c r="H32" s="11">
        <v>2700</v>
      </c>
      <c r="I32" s="11">
        <v>2700</v>
      </c>
      <c r="J32" s="24"/>
      <c r="L32" s="16" t="s">
        <v>74</v>
      </c>
      <c r="M32" s="12" t="s">
        <v>67</v>
      </c>
      <c r="N32" s="13" t="str">
        <f>_xlfn.DISPIMG("ID_CBEC721D5E3D4A5A8EDBB5107BC90CA0",1)</f>
        <v>=DISPIMG("ID_CBEC721D5E3D4A5A8EDBB5107BC90CA0",1)</v>
      </c>
      <c r="O32" s="12" t="s">
        <v>94</v>
      </c>
      <c r="P32" s="37" t="s">
        <v>69</v>
      </c>
      <c r="Q32" s="11">
        <v>1</v>
      </c>
      <c r="R32" s="12" t="s">
        <v>70</v>
      </c>
      <c r="S32" s="11">
        <v>9000</v>
      </c>
      <c r="T32" s="11">
        <v>9000</v>
      </c>
      <c r="U32" s="24"/>
    </row>
    <row r="33" spans="1:21" ht="100.05" customHeight="1" x14ac:dyDescent="0.25">
      <c r="A33" s="11">
        <v>14</v>
      </c>
      <c r="B33" s="12" t="s">
        <v>77</v>
      </c>
      <c r="C33" s="12" t="s">
        <v>95</v>
      </c>
      <c r="D33" s="77"/>
      <c r="E33" s="37" t="s">
        <v>96</v>
      </c>
      <c r="F33" s="11">
        <v>2</v>
      </c>
      <c r="G33" s="12" t="s">
        <v>80</v>
      </c>
      <c r="H33" s="11">
        <v>615</v>
      </c>
      <c r="I33" s="11">
        <v>1230</v>
      </c>
      <c r="J33" s="24"/>
      <c r="L33" s="16" t="s">
        <v>97</v>
      </c>
      <c r="M33" s="12" t="s">
        <v>75</v>
      </c>
      <c r="N33" s="13" t="str">
        <f>_xlfn.DISPIMG("ID_062C72DB79394389879495451866432F",1)</f>
        <v>=DISPIMG("ID_062C72DB79394389879495451866432F",1)</v>
      </c>
      <c r="O33" s="12" t="s">
        <v>76</v>
      </c>
      <c r="P33" s="37" t="s">
        <v>69</v>
      </c>
      <c r="Q33" s="11">
        <v>1</v>
      </c>
      <c r="R33" s="12" t="s">
        <v>70</v>
      </c>
      <c r="S33" s="11">
        <v>4450</v>
      </c>
      <c r="T33" s="11">
        <v>4450</v>
      </c>
      <c r="U33" s="24"/>
    </row>
    <row r="34" spans="1:21" ht="100.05" customHeight="1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9"/>
      <c r="L34" s="16" t="s">
        <v>98</v>
      </c>
      <c r="M34" s="12" t="s">
        <v>81</v>
      </c>
      <c r="N34" s="13" t="str">
        <f>_xlfn.DISPIMG("ID_6530099D29474D6A8389D6B7006C8F1A",1)</f>
        <v>=DISPIMG("ID_6530099D29474D6A8389D6B7006C8F1A",1)</v>
      </c>
      <c r="O34" s="12" t="s">
        <v>82</v>
      </c>
      <c r="P34" s="37" t="s">
        <v>83</v>
      </c>
      <c r="Q34" s="11">
        <v>1</v>
      </c>
      <c r="R34" s="12" t="s">
        <v>16</v>
      </c>
      <c r="S34" s="11">
        <v>4500</v>
      </c>
      <c r="T34" s="11">
        <v>4500</v>
      </c>
      <c r="U34" s="24"/>
    </row>
    <row r="35" spans="1:21" ht="100.05" customHeight="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9"/>
      <c r="L35" s="11">
        <v>16</v>
      </c>
      <c r="M35" s="12" t="s">
        <v>77</v>
      </c>
      <c r="N35" s="13" t="str">
        <f>_xlfn.DISPIMG("ID_9E40057FD5364DA58A127067A6B70D3B",1)</f>
        <v>=DISPIMG("ID_9E40057FD5364DA58A127067A6B70D3B",1)</v>
      </c>
      <c r="O35" s="12" t="s">
        <v>84</v>
      </c>
      <c r="P35" s="37" t="s">
        <v>36</v>
      </c>
      <c r="Q35" s="11">
        <v>2</v>
      </c>
      <c r="R35" s="12" t="s">
        <v>80</v>
      </c>
      <c r="S35" s="11">
        <v>750</v>
      </c>
      <c r="T35" s="11">
        <v>1500</v>
      </c>
      <c r="U35" s="24"/>
    </row>
    <row r="36" spans="1:21" ht="19.95" customHeight="1" x14ac:dyDescent="0.25">
      <c r="A36" s="86" t="s">
        <v>99</v>
      </c>
      <c r="B36" s="84"/>
      <c r="C36" s="84"/>
      <c r="D36" s="84"/>
      <c r="E36" s="84"/>
      <c r="F36" s="84"/>
      <c r="G36" s="84"/>
      <c r="H36" s="84"/>
      <c r="I36" s="84"/>
      <c r="J36" s="88"/>
      <c r="K36" s="10"/>
      <c r="L36" s="83" t="s">
        <v>99</v>
      </c>
      <c r="M36" s="84"/>
      <c r="N36" s="84"/>
      <c r="O36" s="84"/>
      <c r="P36" s="84"/>
      <c r="Q36" s="84" t="s">
        <v>100</v>
      </c>
      <c r="R36" s="84"/>
      <c r="S36" s="84"/>
      <c r="T36" s="84"/>
      <c r="U36" s="84"/>
    </row>
    <row r="37" spans="1:21" ht="100.05" customHeight="1" x14ac:dyDescent="0.25">
      <c r="A37" s="11">
        <v>1</v>
      </c>
      <c r="B37" s="12" t="s">
        <v>17</v>
      </c>
      <c r="C37" s="12" t="s">
        <v>101</v>
      </c>
      <c r="D37" s="13" t="str">
        <f>_xlfn.DISPIMG("ID_FDFB2C1EA7D24669ABB79A13A06088F7",1)</f>
        <v>=DISPIMG("ID_FDFB2C1EA7D24669ABB79A13A06088F7",1)</v>
      </c>
      <c r="E37" s="37" t="s">
        <v>102</v>
      </c>
      <c r="F37" s="11">
        <v>6</v>
      </c>
      <c r="G37" s="12" t="s">
        <v>16</v>
      </c>
      <c r="H37" s="11">
        <v>7980</v>
      </c>
      <c r="I37" s="11">
        <v>47880</v>
      </c>
      <c r="J37" s="26"/>
      <c r="K37" s="27"/>
      <c r="L37" s="11">
        <v>1</v>
      </c>
      <c r="M37" s="12" t="s">
        <v>17</v>
      </c>
      <c r="N37" s="13" t="str">
        <f>_xlfn.DISPIMG("ID_CC555FCA865542A994BA8EEDA11D3FE9",1)</f>
        <v>=DISPIMG("ID_CC555FCA865542A994BA8EEDA11D3FE9",1)</v>
      </c>
      <c r="O37" s="12" t="s">
        <v>103</v>
      </c>
      <c r="P37" s="37" t="s">
        <v>19</v>
      </c>
      <c r="Q37" s="11">
        <v>6</v>
      </c>
      <c r="R37" s="12" t="s">
        <v>16</v>
      </c>
      <c r="S37" s="11">
        <v>5600</v>
      </c>
      <c r="T37" s="11">
        <v>33600</v>
      </c>
      <c r="U37" s="24"/>
    </row>
    <row r="38" spans="1:21" ht="100.05" customHeight="1" x14ac:dyDescent="0.25">
      <c r="A38" s="11">
        <v>2</v>
      </c>
      <c r="B38" s="12" t="s">
        <v>23</v>
      </c>
      <c r="C38" s="12" t="s">
        <v>21</v>
      </c>
      <c r="D38" s="13" t="str">
        <f>_xlfn.DISPIMG("ID_7EE7BB2500524762B5FAE4B3FD7CC5B0",1)</f>
        <v>=DISPIMG("ID_7EE7BB2500524762B5FAE4B3FD7CC5B0",1)</v>
      </c>
      <c r="E38" s="37" t="s">
        <v>104</v>
      </c>
      <c r="F38" s="11">
        <v>6</v>
      </c>
      <c r="G38" s="12" t="s">
        <v>16</v>
      </c>
      <c r="H38" s="11">
        <v>2543</v>
      </c>
      <c r="I38" s="11">
        <v>15258</v>
      </c>
      <c r="J38" s="28"/>
      <c r="K38" s="15"/>
      <c r="L38" s="11">
        <v>2</v>
      </c>
      <c r="M38" s="12" t="s">
        <v>105</v>
      </c>
      <c r="N38" s="13" t="str">
        <f>_xlfn.DISPIMG("ID_EF3672FF9D884363A865828F2B38258E",1)</f>
        <v>=DISPIMG("ID_EF3672FF9D884363A865828F2B38258E",1)</v>
      </c>
      <c r="O38" s="12" t="s">
        <v>24</v>
      </c>
      <c r="P38" s="37" t="s">
        <v>25</v>
      </c>
      <c r="Q38" s="11">
        <v>6</v>
      </c>
      <c r="R38" s="12" t="s">
        <v>16</v>
      </c>
      <c r="S38" s="11">
        <v>1950</v>
      </c>
      <c r="T38" s="11">
        <v>11700</v>
      </c>
      <c r="U38" s="24"/>
    </row>
    <row r="39" spans="1:21" ht="100.05" customHeight="1" x14ac:dyDescent="0.25">
      <c r="A39" s="11">
        <v>3</v>
      </c>
      <c r="B39" s="12" t="s">
        <v>26</v>
      </c>
      <c r="C39" s="12" t="s">
        <v>21</v>
      </c>
      <c r="D39" s="13" t="str">
        <f>_xlfn.DISPIMG("ID_C23314BA8811410DB6D7681FEA469A52",1)</f>
        <v>=DISPIMG("ID_C23314BA8811410DB6D7681FEA469A52",1)</v>
      </c>
      <c r="E39" s="37" t="s">
        <v>106</v>
      </c>
      <c r="F39" s="11">
        <v>12</v>
      </c>
      <c r="G39" s="12" t="s">
        <v>16</v>
      </c>
      <c r="H39" s="11">
        <v>1598</v>
      </c>
      <c r="I39" s="11">
        <v>19176</v>
      </c>
      <c r="J39" s="28"/>
      <c r="K39" s="15"/>
      <c r="L39" s="11">
        <v>3</v>
      </c>
      <c r="M39" s="12" t="s">
        <v>26</v>
      </c>
      <c r="N39" s="13" t="str">
        <f>_xlfn.DISPIMG("ID_4A86D6CCECDB40C1B24C0091160BA9CA",1)</f>
        <v>=DISPIMG("ID_4A86D6CCECDB40C1B24C0091160BA9CA",1)</v>
      </c>
      <c r="O39" s="12" t="s">
        <v>24</v>
      </c>
      <c r="P39" s="37" t="s">
        <v>27</v>
      </c>
      <c r="Q39" s="11">
        <v>12</v>
      </c>
      <c r="R39" s="12" t="s">
        <v>16</v>
      </c>
      <c r="S39" s="11">
        <v>890</v>
      </c>
      <c r="T39" s="11">
        <v>10680</v>
      </c>
      <c r="U39" s="24"/>
    </row>
    <row r="40" spans="1:21" ht="100.05" customHeight="1" x14ac:dyDescent="0.25">
      <c r="A40" s="11">
        <v>4</v>
      </c>
      <c r="B40" s="12" t="s">
        <v>42</v>
      </c>
      <c r="C40" s="12" t="s">
        <v>107</v>
      </c>
      <c r="D40" s="77" t="str">
        <f>_xlfn.DISPIMG("ID_59BACDA03BA24923910EF317C8891330",1)</f>
        <v>=DISPIMG("ID_59BACDA03BA24923910EF317C8891330",1)</v>
      </c>
      <c r="E40" s="79" t="s">
        <v>108</v>
      </c>
      <c r="F40" s="11">
        <v>6</v>
      </c>
      <c r="G40" s="12" t="s">
        <v>16</v>
      </c>
      <c r="H40" s="11">
        <v>3108</v>
      </c>
      <c r="I40" s="11">
        <v>18648</v>
      </c>
      <c r="J40" s="28"/>
      <c r="K40" s="15"/>
      <c r="L40" s="11">
        <v>4</v>
      </c>
      <c r="M40" s="12" t="s">
        <v>31</v>
      </c>
      <c r="N40" s="13" t="str">
        <f>_xlfn.DISPIMG("ID_4E5E9312286B472BB52C7DBFFD55BBF9",1)</f>
        <v>=DISPIMG("ID_4E5E9312286B472BB52C7DBFFD55BBF9",1)</v>
      </c>
      <c r="O40" s="12" t="s">
        <v>109</v>
      </c>
      <c r="P40" s="37" t="s">
        <v>19</v>
      </c>
      <c r="Q40" s="11">
        <v>6</v>
      </c>
      <c r="R40" s="12" t="s">
        <v>70</v>
      </c>
      <c r="S40" s="11">
        <v>8950</v>
      </c>
      <c r="T40" s="11">
        <v>53700</v>
      </c>
      <c r="U40" s="24"/>
    </row>
    <row r="41" spans="1:21" ht="100.05" customHeight="1" x14ac:dyDescent="0.25">
      <c r="A41" s="11">
        <v>5</v>
      </c>
      <c r="B41" s="12" t="s">
        <v>42</v>
      </c>
      <c r="C41" s="12" t="s">
        <v>48</v>
      </c>
      <c r="D41" s="77"/>
      <c r="E41" s="80"/>
      <c r="F41" s="11">
        <v>6</v>
      </c>
      <c r="G41" s="12" t="s">
        <v>16</v>
      </c>
      <c r="H41" s="11">
        <v>3137</v>
      </c>
      <c r="I41" s="11">
        <v>18822</v>
      </c>
      <c r="J41" s="28"/>
      <c r="K41" s="15"/>
      <c r="L41" s="11">
        <v>5</v>
      </c>
      <c r="M41" s="12" t="s">
        <v>92</v>
      </c>
      <c r="N41" s="13" t="str">
        <f>_xlfn.DISPIMG("ID_844A99ACB82C429CA757EBAAAF7673C6",1)</f>
        <v>=DISPIMG("ID_844A99ACB82C429CA757EBAAAF7673C6",1)</v>
      </c>
      <c r="O41" s="12" t="s">
        <v>93</v>
      </c>
      <c r="P41" s="37" t="s">
        <v>19</v>
      </c>
      <c r="Q41" s="11">
        <v>6</v>
      </c>
      <c r="R41" s="12" t="s">
        <v>16</v>
      </c>
      <c r="S41" s="11">
        <v>2200</v>
      </c>
      <c r="T41" s="11">
        <v>13200</v>
      </c>
      <c r="U41" s="24"/>
    </row>
    <row r="42" spans="1:21" ht="100.05" customHeight="1" x14ac:dyDescent="0.25">
      <c r="A42" s="11">
        <v>6</v>
      </c>
      <c r="B42" s="12" t="s">
        <v>110</v>
      </c>
      <c r="C42" s="12" t="s">
        <v>111</v>
      </c>
      <c r="D42" s="13" t="str">
        <f>_xlfn.DISPIMG("ID_0493DFC225D848F6AAB827D91C6B441C",1)</f>
        <v>=DISPIMG("ID_0493DFC225D848F6AAB827D91C6B441C",1)</v>
      </c>
      <c r="E42" s="37" t="s">
        <v>112</v>
      </c>
      <c r="F42" s="11">
        <v>6</v>
      </c>
      <c r="G42" s="12" t="s">
        <v>16</v>
      </c>
      <c r="H42" s="11">
        <v>1326</v>
      </c>
      <c r="I42" s="11">
        <v>7956</v>
      </c>
      <c r="J42" s="28"/>
      <c r="K42" s="15"/>
      <c r="L42" s="11">
        <v>6</v>
      </c>
      <c r="M42" s="12" t="s">
        <v>113</v>
      </c>
      <c r="N42" s="77" t="str">
        <f>_xlfn.DISPIMG("ID_90D58538664740A0BE994D256042CCCB",1)</f>
        <v>=DISPIMG("ID_90D58538664740A0BE994D256042CCCB",1)</v>
      </c>
      <c r="O42" s="12" t="s">
        <v>114</v>
      </c>
      <c r="P42" s="79" t="s">
        <v>47</v>
      </c>
      <c r="Q42" s="11">
        <v>6</v>
      </c>
      <c r="R42" s="12" t="s">
        <v>16</v>
      </c>
      <c r="S42" s="11">
        <v>2550</v>
      </c>
      <c r="T42" s="11">
        <v>15300</v>
      </c>
      <c r="U42" s="24"/>
    </row>
    <row r="43" spans="1:21" ht="100.05" customHeight="1" x14ac:dyDescent="0.25">
      <c r="A43" s="11">
        <v>7</v>
      </c>
      <c r="B43" s="12" t="s">
        <v>115</v>
      </c>
      <c r="C43" s="12" t="s">
        <v>116</v>
      </c>
      <c r="D43" s="13" t="str">
        <f>_xlfn.DISPIMG("ID_514CE6F304D5417998709F0EC896FCF8",1)</f>
        <v>=DISPIMG("ID_514CE6F304D5417998709F0EC896FCF8",1)</v>
      </c>
      <c r="E43" s="37" t="s">
        <v>117</v>
      </c>
      <c r="F43" s="11">
        <v>6</v>
      </c>
      <c r="G43" s="12" t="s">
        <v>16</v>
      </c>
      <c r="H43" s="11">
        <v>2448</v>
      </c>
      <c r="I43" s="11">
        <v>14688</v>
      </c>
      <c r="J43" s="28"/>
      <c r="K43" s="15"/>
      <c r="L43" s="11">
        <v>7</v>
      </c>
      <c r="M43" s="12" t="s">
        <v>49</v>
      </c>
      <c r="N43" s="77"/>
      <c r="O43" s="12" t="s">
        <v>118</v>
      </c>
      <c r="P43" s="80"/>
      <c r="Q43" s="11">
        <v>6</v>
      </c>
      <c r="R43" s="12" t="s">
        <v>16</v>
      </c>
      <c r="S43" s="11">
        <v>1980</v>
      </c>
      <c r="T43" s="11">
        <v>11880</v>
      </c>
      <c r="U43" s="24"/>
    </row>
    <row r="44" spans="1:21" ht="100.05" customHeight="1" x14ac:dyDescent="0.25">
      <c r="A44" s="11">
        <v>8</v>
      </c>
      <c r="B44" s="12" t="s">
        <v>119</v>
      </c>
      <c r="C44" s="12" t="s">
        <v>120</v>
      </c>
      <c r="D44" s="13" t="str">
        <f>_xlfn.DISPIMG("ID_5E73B43BD6DD4D258CE6B0A58F77C801",1)</f>
        <v>=DISPIMG("ID_5E73B43BD6DD4D258CE6B0A58F77C801",1)</v>
      </c>
      <c r="E44" s="37" t="s">
        <v>121</v>
      </c>
      <c r="F44" s="11">
        <v>6</v>
      </c>
      <c r="G44" s="12" t="s">
        <v>16</v>
      </c>
      <c r="H44" s="11">
        <v>929</v>
      </c>
      <c r="I44" s="11">
        <v>5574</v>
      </c>
      <c r="J44" s="28"/>
      <c r="K44" s="15"/>
      <c r="L44" s="11">
        <v>8</v>
      </c>
      <c r="M44" s="12" t="s">
        <v>53</v>
      </c>
      <c r="N44" s="77"/>
      <c r="O44" s="12" t="s">
        <v>21</v>
      </c>
      <c r="P44" s="80"/>
      <c r="Q44" s="11">
        <v>12</v>
      </c>
      <c r="R44" s="12" t="s">
        <v>16</v>
      </c>
      <c r="S44" s="11">
        <v>1480</v>
      </c>
      <c r="T44" s="11">
        <v>17760</v>
      </c>
      <c r="U44" s="24"/>
    </row>
    <row r="45" spans="1:21" ht="100.05" customHeight="1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9"/>
      <c r="L45" s="11">
        <v>9</v>
      </c>
      <c r="M45" s="12" t="s">
        <v>54</v>
      </c>
      <c r="N45" s="77" t="str">
        <f>_xlfn.DISPIMG("ID_FB5A65D7562649D6B0399A622BA6D3FD",1)</f>
        <v>=DISPIMG("ID_FB5A65D7562649D6B0399A622BA6D3FD",1)</v>
      </c>
      <c r="O45" s="12" t="s">
        <v>122</v>
      </c>
      <c r="P45" s="79" t="s">
        <v>19</v>
      </c>
      <c r="Q45" s="11">
        <v>1</v>
      </c>
      <c r="R45" s="12" t="s">
        <v>16</v>
      </c>
      <c r="S45" s="11">
        <v>2500</v>
      </c>
      <c r="T45" s="11">
        <v>2500</v>
      </c>
      <c r="U45" s="24"/>
    </row>
    <row r="46" spans="1:21" ht="100.05" customHeight="1" x14ac:dyDescent="0.25">
      <c r="A46" s="24"/>
      <c r="B46" s="24"/>
      <c r="C46" s="24"/>
      <c r="D46" s="24"/>
      <c r="E46" s="24"/>
      <c r="F46" s="24"/>
      <c r="G46" s="24"/>
      <c r="H46" s="24"/>
      <c r="I46" s="24"/>
      <c r="J46" s="29"/>
      <c r="L46" s="11">
        <v>10</v>
      </c>
      <c r="M46" s="12" t="s">
        <v>61</v>
      </c>
      <c r="N46" s="77"/>
      <c r="O46" s="12" t="s">
        <v>62</v>
      </c>
      <c r="P46" s="80"/>
      <c r="Q46" s="11">
        <v>2</v>
      </c>
      <c r="R46" s="12" t="s">
        <v>16</v>
      </c>
      <c r="S46" s="11">
        <v>950</v>
      </c>
      <c r="T46" s="11">
        <v>1900</v>
      </c>
      <c r="U46" s="24"/>
    </row>
    <row r="47" spans="1:21" ht="19.95" customHeight="1" x14ac:dyDescent="0.25">
      <c r="A47" s="86" t="s">
        <v>123</v>
      </c>
      <c r="B47" s="84"/>
      <c r="C47" s="84"/>
      <c r="D47" s="84"/>
      <c r="E47" s="84"/>
      <c r="F47" s="84"/>
      <c r="G47" s="84"/>
      <c r="H47" s="84"/>
      <c r="I47" s="84"/>
      <c r="J47" s="84"/>
      <c r="K47" s="10"/>
      <c r="L47" s="83" t="s">
        <v>123</v>
      </c>
      <c r="M47" s="84"/>
      <c r="N47" s="84"/>
      <c r="O47" s="84"/>
      <c r="P47" s="84"/>
      <c r="Q47" s="84" t="s">
        <v>100</v>
      </c>
      <c r="R47" s="84"/>
      <c r="S47" s="84"/>
      <c r="T47" s="84"/>
      <c r="U47" s="84"/>
    </row>
    <row r="48" spans="1:21" ht="100.05" customHeight="1" x14ac:dyDescent="0.25">
      <c r="A48" s="11">
        <v>1</v>
      </c>
      <c r="B48" s="12" t="s">
        <v>13</v>
      </c>
      <c r="C48" s="12" t="s">
        <v>124</v>
      </c>
      <c r="D48" s="77" t="str">
        <f>_xlfn.DISPIMG("ID_DDC7CE8105EE44F8A5D693CFBA51074D",1)</f>
        <v>=DISPIMG("ID_DDC7CE8105EE44F8A5D693CFBA51074D",1)</v>
      </c>
      <c r="E48" s="79" t="s">
        <v>125</v>
      </c>
      <c r="F48" s="11">
        <v>1</v>
      </c>
      <c r="G48" s="12" t="s">
        <v>16</v>
      </c>
      <c r="H48" s="11">
        <v>2955</v>
      </c>
      <c r="I48" s="11">
        <v>2955</v>
      </c>
      <c r="J48" s="13"/>
      <c r="K48" s="15"/>
      <c r="L48" s="11">
        <v>1</v>
      </c>
      <c r="M48" s="12" t="s">
        <v>17</v>
      </c>
      <c r="N48" s="13" t="str">
        <f>_xlfn.DISPIMG("ID_FD16B964D75140D0ADDC7A3E9CEDA1EC",1)</f>
        <v>=DISPIMG("ID_FD16B964D75140D0ADDC7A3E9CEDA1EC",1)</v>
      </c>
      <c r="O48" s="12" t="s">
        <v>126</v>
      </c>
      <c r="P48" s="37" t="s">
        <v>19</v>
      </c>
      <c r="Q48" s="11">
        <v>1</v>
      </c>
      <c r="R48" s="12" t="s">
        <v>16</v>
      </c>
      <c r="S48" s="11">
        <v>3520</v>
      </c>
      <c r="T48" s="11">
        <v>3520</v>
      </c>
      <c r="U48" s="24"/>
    </row>
    <row r="49" spans="1:21" ht="100.05" customHeight="1" x14ac:dyDescent="0.25">
      <c r="A49" s="11">
        <v>2</v>
      </c>
      <c r="B49" s="12" t="s">
        <v>13</v>
      </c>
      <c r="C49" s="12" t="s">
        <v>127</v>
      </c>
      <c r="D49" s="77"/>
      <c r="E49" s="80"/>
      <c r="F49" s="11">
        <v>12</v>
      </c>
      <c r="G49" s="12" t="s">
        <v>16</v>
      </c>
      <c r="H49" s="11">
        <v>2395</v>
      </c>
      <c r="I49" s="11">
        <v>28740</v>
      </c>
      <c r="J49" s="13"/>
      <c r="K49" s="15"/>
      <c r="L49" s="11">
        <v>2</v>
      </c>
      <c r="M49" s="12" t="s">
        <v>105</v>
      </c>
      <c r="N49" s="13" t="str">
        <f>_xlfn.DISPIMG("ID_590E6F10CDA046E7A1207631BFCF1163",1)</f>
        <v>=DISPIMG("ID_590E6F10CDA046E7A1207631BFCF1163",1)</v>
      </c>
      <c r="O49" s="12" t="s">
        <v>24</v>
      </c>
      <c r="P49" s="37" t="s">
        <v>25</v>
      </c>
      <c r="Q49" s="11">
        <v>1</v>
      </c>
      <c r="R49" s="12" t="s">
        <v>16</v>
      </c>
      <c r="S49" s="11">
        <v>1500</v>
      </c>
      <c r="T49" s="11">
        <v>1500</v>
      </c>
      <c r="U49" s="24"/>
    </row>
    <row r="50" spans="1:21" ht="100.05" customHeight="1" x14ac:dyDescent="0.25">
      <c r="A50" s="11">
        <v>3</v>
      </c>
      <c r="B50" s="12" t="s">
        <v>128</v>
      </c>
      <c r="C50" s="12" t="s">
        <v>129</v>
      </c>
      <c r="D50" s="13" t="str">
        <f>_xlfn.DISPIMG("ID_F1B59CDE693D4123863C743B3FE9B593",1)</f>
        <v>=DISPIMG("ID_F1B59CDE693D4123863C743B3FE9B593",1)</v>
      </c>
      <c r="E50" s="37" t="s">
        <v>130</v>
      </c>
      <c r="F50" s="11">
        <v>1</v>
      </c>
      <c r="G50" s="12" t="s">
        <v>16</v>
      </c>
      <c r="H50" s="11">
        <v>2763</v>
      </c>
      <c r="I50" s="11">
        <v>2763</v>
      </c>
      <c r="J50" s="13"/>
      <c r="K50" s="15"/>
      <c r="L50" s="11">
        <v>3</v>
      </c>
      <c r="M50" s="12" t="s">
        <v>26</v>
      </c>
      <c r="N50" s="13" t="str">
        <f>_xlfn.DISPIMG("ID_FEDEB5221D814D5B9C798C1E50C06578",1)</f>
        <v>=DISPIMG("ID_FEDEB5221D814D5B9C798C1E50C06578",1)</v>
      </c>
      <c r="O50" s="12" t="s">
        <v>24</v>
      </c>
      <c r="P50" s="37" t="s">
        <v>27</v>
      </c>
      <c r="Q50" s="11">
        <v>2</v>
      </c>
      <c r="R50" s="12" t="s">
        <v>16</v>
      </c>
      <c r="S50" s="11">
        <v>580</v>
      </c>
      <c r="T50" s="11">
        <v>1160</v>
      </c>
      <c r="U50" s="24"/>
    </row>
    <row r="51" spans="1:21" ht="100.05" customHeight="1" x14ac:dyDescent="0.25">
      <c r="A51" s="11">
        <v>4</v>
      </c>
      <c r="B51" s="12" t="s">
        <v>128</v>
      </c>
      <c r="C51" s="12" t="s">
        <v>131</v>
      </c>
      <c r="D51" s="13" t="str">
        <f>_xlfn.DISPIMG("ID_43D90E2282444CA5998DD75378538D0E",1)</f>
        <v>=DISPIMG("ID_43D90E2282444CA5998DD75378538D0E",1)</v>
      </c>
      <c r="E51" s="37" t="s">
        <v>132</v>
      </c>
      <c r="F51" s="11">
        <v>12</v>
      </c>
      <c r="G51" s="12" t="s">
        <v>16</v>
      </c>
      <c r="H51" s="11">
        <v>1523</v>
      </c>
      <c r="I51" s="11">
        <v>18276</v>
      </c>
      <c r="J51" s="13"/>
      <c r="K51" s="15"/>
      <c r="L51" s="11">
        <v>4</v>
      </c>
      <c r="M51" s="12" t="s">
        <v>31</v>
      </c>
      <c r="N51" s="13" t="str">
        <f>_xlfn.DISPIMG("ID_BCCC0DBEA2A7403D9630BDE563F72E15",1)</f>
        <v>=DISPIMG("ID_BCCC0DBEA2A7403D9630BDE563F72E15",1)</v>
      </c>
      <c r="O51" s="12" t="s">
        <v>133</v>
      </c>
      <c r="P51" s="37" t="s">
        <v>19</v>
      </c>
      <c r="Q51" s="11">
        <v>1</v>
      </c>
      <c r="R51" s="12" t="s">
        <v>70</v>
      </c>
      <c r="S51" s="11">
        <v>7950</v>
      </c>
      <c r="T51" s="11">
        <v>7950</v>
      </c>
      <c r="U51" s="24"/>
    </row>
    <row r="52" spans="1:21" ht="100.05" customHeight="1" x14ac:dyDescent="0.25">
      <c r="A52" s="11">
        <v>5</v>
      </c>
      <c r="B52" s="12" t="s">
        <v>20</v>
      </c>
      <c r="C52" s="12" t="s">
        <v>21</v>
      </c>
      <c r="D52" s="13" t="str">
        <f>_xlfn.DISPIMG("ID_4774A13504BC4CBD80114154BAF90E9F",1)</f>
        <v>=DISPIMG("ID_4774A13504BC4CBD80114154BAF90E9F",1)</v>
      </c>
      <c r="E52" s="37" t="s">
        <v>134</v>
      </c>
      <c r="F52" s="11">
        <v>13</v>
      </c>
      <c r="G52" s="12" t="s">
        <v>16</v>
      </c>
      <c r="H52" s="11">
        <v>1046</v>
      </c>
      <c r="I52" s="11">
        <v>13598</v>
      </c>
      <c r="J52" s="13"/>
      <c r="K52" s="15"/>
      <c r="L52" s="87">
        <v>5</v>
      </c>
      <c r="M52" s="78" t="s">
        <v>135</v>
      </c>
      <c r="N52" s="77" t="str">
        <f>_xlfn.DISPIMG("ID_E24B15A4F63347E58A2F09428F89058C",1)</f>
        <v>=DISPIMG("ID_E24B15A4F63347E58A2F09428F89058C",1)</v>
      </c>
      <c r="O52" s="78" t="s">
        <v>136</v>
      </c>
      <c r="P52" s="39" t="s">
        <v>137</v>
      </c>
      <c r="Q52" s="13"/>
      <c r="R52" s="13"/>
      <c r="S52" s="13"/>
      <c r="T52" s="13"/>
      <c r="U52" s="24"/>
    </row>
    <row r="53" spans="1:21" ht="100.05" customHeight="1" x14ac:dyDescent="0.25">
      <c r="A53" s="11">
        <v>6</v>
      </c>
      <c r="B53" s="12" t="s">
        <v>26</v>
      </c>
      <c r="C53" s="12" t="s">
        <v>21</v>
      </c>
      <c r="D53" s="13" t="str">
        <f>_xlfn.DISPIMG("ID_D235E6BC4D424147A15213B791B58279",1)</f>
        <v>=DISPIMG("ID_D235E6BC4D424147A15213B791B58279",1)</v>
      </c>
      <c r="E53" s="38" t="s">
        <v>138</v>
      </c>
      <c r="F53" s="11">
        <v>26</v>
      </c>
      <c r="G53" s="12" t="s">
        <v>16</v>
      </c>
      <c r="H53" s="11">
        <v>338</v>
      </c>
      <c r="I53" s="11">
        <v>8788</v>
      </c>
      <c r="J53" s="13"/>
      <c r="K53" s="15"/>
      <c r="L53" s="76"/>
      <c r="M53" s="76"/>
      <c r="N53" s="77"/>
      <c r="O53" s="76"/>
      <c r="P53" s="37" t="s">
        <v>139</v>
      </c>
      <c r="Q53" s="13"/>
      <c r="R53" s="13"/>
      <c r="S53" s="13"/>
      <c r="T53" s="13"/>
      <c r="U53" s="24"/>
    </row>
    <row r="54" spans="1:21" ht="100.05" customHeight="1" x14ac:dyDescent="0.25">
      <c r="A54" s="11">
        <v>7</v>
      </c>
      <c r="B54" s="12" t="s">
        <v>42</v>
      </c>
      <c r="C54" s="12" t="s">
        <v>107</v>
      </c>
      <c r="D54" s="13" t="str">
        <f>_xlfn.DISPIMG("ID_162F8D895F254485BD032C5568B73293",1)</f>
        <v>=DISPIMG("ID_162F8D895F254485BD032C5568B73293",1)</v>
      </c>
      <c r="E54" s="37" t="s">
        <v>140</v>
      </c>
      <c r="F54" s="11">
        <v>12</v>
      </c>
      <c r="G54" s="12" t="s">
        <v>16</v>
      </c>
      <c r="H54" s="11">
        <v>2375</v>
      </c>
      <c r="I54" s="11">
        <v>28500</v>
      </c>
      <c r="J54" s="13"/>
      <c r="K54" s="15"/>
      <c r="L54" s="76"/>
      <c r="M54" s="76"/>
      <c r="N54" s="77"/>
      <c r="O54" s="76"/>
      <c r="P54" s="38" t="s">
        <v>141</v>
      </c>
      <c r="Q54" s="40">
        <v>1</v>
      </c>
      <c r="R54" s="41" t="s">
        <v>16</v>
      </c>
      <c r="S54" s="40">
        <v>7500</v>
      </c>
      <c r="T54" s="40">
        <v>7500</v>
      </c>
      <c r="U54" s="24"/>
    </row>
    <row r="55" spans="1:21" ht="100.05" customHeight="1" x14ac:dyDescent="0.25">
      <c r="A55" s="11">
        <v>8</v>
      </c>
      <c r="B55" s="12" t="s">
        <v>115</v>
      </c>
      <c r="C55" s="12" t="s">
        <v>142</v>
      </c>
      <c r="D55" s="13" t="str">
        <f>_xlfn.DISPIMG("ID_0F280A2562E3481EBC863A7FEB77BCAA",1)</f>
        <v>=DISPIMG("ID_0F280A2562E3481EBC863A7FEB77BCAA",1)</v>
      </c>
      <c r="E55" s="37" t="s">
        <v>143</v>
      </c>
      <c r="F55" s="11">
        <v>12</v>
      </c>
      <c r="G55" s="12" t="s">
        <v>16</v>
      </c>
      <c r="H55" s="11">
        <v>750</v>
      </c>
      <c r="I55" s="11">
        <v>9000</v>
      </c>
      <c r="J55" s="13"/>
      <c r="K55" s="15"/>
      <c r="L55" s="76"/>
      <c r="M55" s="76"/>
      <c r="N55" s="77"/>
      <c r="O55" s="76"/>
      <c r="P55" s="37" t="s">
        <v>144</v>
      </c>
      <c r="Q55" s="13"/>
      <c r="R55" s="13"/>
      <c r="S55" s="13"/>
      <c r="T55" s="13"/>
      <c r="U55" s="24"/>
    </row>
    <row r="56" spans="1:21" ht="100.05" customHeight="1" x14ac:dyDescent="0.25">
      <c r="A56" s="11">
        <v>9</v>
      </c>
      <c r="B56" s="12" t="s">
        <v>28</v>
      </c>
      <c r="C56" s="12" t="s">
        <v>145</v>
      </c>
      <c r="D56" s="13" t="str">
        <f>_xlfn.DISPIMG("ID_E8CF3F96427D45949BC6F3FCB7D97123",1)</f>
        <v>=DISPIMG("ID_E8CF3F96427D45949BC6F3FCB7D97123",1)</v>
      </c>
      <c r="E56" s="37" t="s">
        <v>146</v>
      </c>
      <c r="F56" s="11">
        <v>1</v>
      </c>
      <c r="G56" s="12" t="s">
        <v>16</v>
      </c>
      <c r="H56" s="11">
        <v>5310</v>
      </c>
      <c r="I56" s="11">
        <v>5310</v>
      </c>
      <c r="J56" s="13"/>
      <c r="K56" s="15"/>
      <c r="L56" s="76"/>
      <c r="M56" s="76"/>
      <c r="N56" s="77"/>
      <c r="O56" s="76"/>
      <c r="P56" s="38" t="s">
        <v>147</v>
      </c>
      <c r="Q56" s="13"/>
      <c r="R56" s="13"/>
      <c r="S56" s="13"/>
      <c r="T56" s="13"/>
      <c r="U56" s="24"/>
    </row>
    <row r="57" spans="1:21" ht="100.05" customHeight="1" x14ac:dyDescent="0.25">
      <c r="A57" s="11">
        <v>10</v>
      </c>
      <c r="B57" s="12" t="s">
        <v>40</v>
      </c>
      <c r="C57" s="12" t="s">
        <v>21</v>
      </c>
      <c r="D57" s="13" t="str">
        <f>_xlfn.DISPIMG("ID_554BDDDDEF9D42EAB18AC37E92295287",1)</f>
        <v>=DISPIMG("ID_554BDDDDEF9D42EAB18AC37E92295287",1)</v>
      </c>
      <c r="E57" s="37" t="s">
        <v>148</v>
      </c>
      <c r="F57" s="11">
        <v>6</v>
      </c>
      <c r="G57" s="12" t="s">
        <v>16</v>
      </c>
      <c r="H57" s="11">
        <v>515</v>
      </c>
      <c r="I57" s="11">
        <v>3090</v>
      </c>
      <c r="J57" s="13"/>
      <c r="K57" s="15"/>
      <c r="L57" s="24"/>
      <c r="M57" s="24"/>
      <c r="N57" s="24"/>
      <c r="O57" s="24"/>
      <c r="P57" s="24"/>
      <c r="Q57" s="24"/>
      <c r="R57" s="24"/>
      <c r="S57" s="24"/>
      <c r="T57" s="24"/>
      <c r="U57" s="24"/>
    </row>
    <row r="58" spans="1:21" ht="19.95" customHeight="1" x14ac:dyDescent="0.25">
      <c r="A58" s="86" t="s">
        <v>149</v>
      </c>
      <c r="B58" s="84"/>
      <c r="C58" s="84"/>
      <c r="D58" s="84"/>
      <c r="E58" s="84"/>
      <c r="F58" s="84"/>
      <c r="G58" s="84"/>
      <c r="H58" s="84"/>
      <c r="I58" s="84"/>
      <c r="J58" s="84"/>
      <c r="K58" s="10"/>
      <c r="L58" s="83" t="s">
        <v>149</v>
      </c>
      <c r="M58" s="84"/>
      <c r="N58" s="84"/>
      <c r="O58" s="84"/>
      <c r="P58" s="84"/>
      <c r="Q58" s="84" t="s">
        <v>100</v>
      </c>
      <c r="R58" s="84"/>
      <c r="S58" s="84"/>
      <c r="T58" s="84"/>
      <c r="U58" s="84"/>
    </row>
    <row r="59" spans="1:21" ht="100.05" customHeight="1" x14ac:dyDescent="0.25">
      <c r="A59" s="11">
        <v>1</v>
      </c>
      <c r="B59" s="12" t="s">
        <v>13</v>
      </c>
      <c r="C59" s="12" t="s">
        <v>150</v>
      </c>
      <c r="D59" s="13" t="str">
        <f>_xlfn.DISPIMG("ID_1519A3BDB14D424A8E53F3C6CEEF2F52",1)</f>
        <v>=DISPIMG("ID_1519A3BDB14D424A8E53F3C6CEEF2F52",1)</v>
      </c>
      <c r="E59" s="37" t="s">
        <v>151</v>
      </c>
      <c r="F59" s="11">
        <v>109</v>
      </c>
      <c r="G59" s="12" t="s">
        <v>152</v>
      </c>
      <c r="H59" s="11">
        <v>1372</v>
      </c>
      <c r="I59" s="11">
        <v>149548</v>
      </c>
      <c r="J59" s="13"/>
      <c r="K59" s="15"/>
      <c r="L59" s="11">
        <v>1</v>
      </c>
      <c r="M59" s="12" t="s">
        <v>153</v>
      </c>
      <c r="N59" s="13" t="str">
        <f>_xlfn.DISPIMG("ID_54B60F202A354944B3F0AED20CA75F93",1)</f>
        <v>=DISPIMG("ID_54B60F202A354944B3F0AED20CA75F93",1)</v>
      </c>
      <c r="O59" s="12" t="s">
        <v>154</v>
      </c>
      <c r="P59" s="37" t="s">
        <v>155</v>
      </c>
      <c r="Q59" s="11">
        <v>94</v>
      </c>
      <c r="R59" s="12" t="s">
        <v>156</v>
      </c>
      <c r="S59" s="11">
        <v>1950</v>
      </c>
      <c r="T59" s="11">
        <v>183300</v>
      </c>
      <c r="U59" s="24"/>
    </row>
    <row r="60" spans="1:21" ht="100.05" customHeight="1" x14ac:dyDescent="0.25">
      <c r="A60" s="11">
        <v>2</v>
      </c>
      <c r="B60" s="12" t="s">
        <v>157</v>
      </c>
      <c r="C60" s="12" t="s">
        <v>158</v>
      </c>
      <c r="D60" s="13" t="str">
        <f>_xlfn.DISPIMG("ID_CA95FB3955A54369AB814C3BF07D73B1",1)</f>
        <v>=DISPIMG("ID_CA95FB3955A54369AB814C3BF07D73B1",1)</v>
      </c>
      <c r="E60" s="37" t="s">
        <v>159</v>
      </c>
      <c r="F60" s="11">
        <v>109</v>
      </c>
      <c r="G60" s="12" t="s">
        <v>80</v>
      </c>
      <c r="H60" s="11">
        <v>340</v>
      </c>
      <c r="I60" s="11">
        <v>37060</v>
      </c>
      <c r="J60" s="13"/>
      <c r="K60" s="15"/>
      <c r="L60" s="11">
        <v>2</v>
      </c>
      <c r="M60" s="12" t="s">
        <v>20</v>
      </c>
      <c r="N60" s="13" t="str">
        <f>_xlfn.DISPIMG("ID_68204D9155CD4684BE71703C41494249",1)</f>
        <v>=DISPIMG("ID_68204D9155CD4684BE71703C41494249",1)</v>
      </c>
      <c r="O60" s="12" t="s">
        <v>24</v>
      </c>
      <c r="P60" s="37" t="s">
        <v>160</v>
      </c>
      <c r="Q60" s="11">
        <v>94</v>
      </c>
      <c r="R60" s="12" t="s">
        <v>16</v>
      </c>
      <c r="S60" s="11">
        <v>298</v>
      </c>
      <c r="T60" s="11">
        <v>28012</v>
      </c>
      <c r="U60" s="24"/>
    </row>
    <row r="61" spans="1:21" ht="100.05" customHeight="1" x14ac:dyDescent="0.25">
      <c r="A61" s="11">
        <v>3</v>
      </c>
      <c r="B61" s="12" t="s">
        <v>13</v>
      </c>
      <c r="C61" s="12" t="s">
        <v>161</v>
      </c>
      <c r="D61" s="13" t="str">
        <f>_xlfn.DISPIMG("ID_EA72899651804638B842E751D8DBC467",1)</f>
        <v>=DISPIMG("ID_EA72899651804638B842E751D8DBC467",1)</v>
      </c>
      <c r="E61" s="37" t="s">
        <v>162</v>
      </c>
      <c r="F61" s="11">
        <v>2</v>
      </c>
      <c r="G61" s="12" t="s">
        <v>70</v>
      </c>
      <c r="H61" s="11">
        <v>1508</v>
      </c>
      <c r="I61" s="11">
        <v>3016</v>
      </c>
      <c r="J61" s="13"/>
      <c r="K61" s="15"/>
      <c r="L61" s="11">
        <v>3</v>
      </c>
      <c r="M61" s="12" t="s">
        <v>163</v>
      </c>
      <c r="N61" s="13" t="str">
        <f>_xlfn.DISPIMG("ID_47DC7A8132DB4A589D715B36BB8C70B7",1)</f>
        <v>=DISPIMG("ID_47DC7A8132DB4A589D715B36BB8C70B7",1)</v>
      </c>
      <c r="O61" s="12" t="s">
        <v>164</v>
      </c>
      <c r="P61" s="37" t="s">
        <v>69</v>
      </c>
      <c r="Q61" s="11">
        <v>60</v>
      </c>
      <c r="R61" s="12" t="s">
        <v>70</v>
      </c>
      <c r="S61" s="11">
        <v>460</v>
      </c>
      <c r="T61" s="11">
        <v>27600</v>
      </c>
      <c r="U61" s="24"/>
    </row>
    <row r="62" spans="1:21" ht="100.05" customHeight="1" x14ac:dyDescent="0.25">
      <c r="A62" s="11">
        <v>4</v>
      </c>
      <c r="B62" s="12" t="s">
        <v>20</v>
      </c>
      <c r="C62" s="12" t="s">
        <v>21</v>
      </c>
      <c r="D62" s="13" t="str">
        <f>_xlfn.DISPIMG("ID_64B88647BBE247098D06E0C2753AD67E",1)</f>
        <v>=DISPIMG("ID_64B88647BBE247098D06E0C2753AD67E",1)</v>
      </c>
      <c r="E62" s="37" t="s">
        <v>165</v>
      </c>
      <c r="F62" s="11">
        <v>111</v>
      </c>
      <c r="G62" s="12" t="s">
        <v>16</v>
      </c>
      <c r="H62" s="11">
        <v>550</v>
      </c>
      <c r="I62" s="11">
        <v>61050</v>
      </c>
      <c r="J62" s="13"/>
      <c r="K62" s="15"/>
      <c r="L62" s="11">
        <v>1</v>
      </c>
      <c r="M62" s="12" t="s">
        <v>166</v>
      </c>
      <c r="N62" s="13" t="str">
        <f>_xlfn.DISPIMG("ID_1160AE73EAEC4D1EB2ED865B67743C37",1)</f>
        <v>=DISPIMG("ID_1160AE73EAEC4D1EB2ED865B67743C37",1)</v>
      </c>
      <c r="O62" s="12" t="s">
        <v>167</v>
      </c>
      <c r="P62" s="37" t="s">
        <v>69</v>
      </c>
      <c r="Q62" s="11">
        <v>1</v>
      </c>
      <c r="R62" s="12" t="s">
        <v>70</v>
      </c>
      <c r="S62" s="11">
        <v>2400</v>
      </c>
      <c r="T62" s="11">
        <v>2400</v>
      </c>
      <c r="U62" s="75" t="s">
        <v>168</v>
      </c>
    </row>
    <row r="63" spans="1:21" ht="100.05" customHeight="1" x14ac:dyDescent="0.25">
      <c r="A63" s="11">
        <v>5</v>
      </c>
      <c r="B63" s="12" t="s">
        <v>169</v>
      </c>
      <c r="C63" s="12" t="s">
        <v>170</v>
      </c>
      <c r="D63" s="13" t="str">
        <f>_xlfn.DISPIMG("ID_89FFD8D4637D4ECCB398AF1C59B351BC",1)</f>
        <v>=DISPIMG("ID_89FFD8D4637D4ECCB398AF1C59B351BC",1)</v>
      </c>
      <c r="E63" s="37" t="s">
        <v>159</v>
      </c>
      <c r="F63" s="11">
        <v>35</v>
      </c>
      <c r="G63" s="12" t="s">
        <v>80</v>
      </c>
      <c r="H63" s="11">
        <v>1234</v>
      </c>
      <c r="I63" s="11">
        <v>43190</v>
      </c>
      <c r="J63" s="13"/>
      <c r="K63" s="15"/>
      <c r="L63" s="11">
        <v>2</v>
      </c>
      <c r="M63" s="12" t="s">
        <v>166</v>
      </c>
      <c r="N63" s="13" t="str">
        <f>_xlfn.DISPIMG("ID_A634852F2C8B4A1FB037CD35326DBDED",1)</f>
        <v>=DISPIMG("ID_A634852F2C8B4A1FB037CD35326DBDED",1)</v>
      </c>
      <c r="O63" s="12" t="s">
        <v>171</v>
      </c>
      <c r="P63" s="37" t="s">
        <v>69</v>
      </c>
      <c r="Q63" s="11">
        <v>1</v>
      </c>
      <c r="R63" s="12" t="s">
        <v>70</v>
      </c>
      <c r="S63" s="11">
        <v>2900</v>
      </c>
      <c r="T63" s="11">
        <v>2900</v>
      </c>
      <c r="U63" s="75"/>
    </row>
    <row r="64" spans="1:21" ht="100.05" customHeight="1" x14ac:dyDescent="0.25">
      <c r="A64" s="11">
        <v>6</v>
      </c>
      <c r="B64" s="12" t="s">
        <v>31</v>
      </c>
      <c r="C64" s="12" t="s">
        <v>172</v>
      </c>
      <c r="D64" s="13" t="str">
        <f>_xlfn.DISPIMG("ID_6EA8A05AA8724A99A9C85EB239DEEF73",1)</f>
        <v>=DISPIMG("ID_6EA8A05AA8724A99A9C85EB239DEEF73",1)</v>
      </c>
      <c r="E64" s="37" t="s">
        <v>173</v>
      </c>
      <c r="F64" s="11">
        <v>50</v>
      </c>
      <c r="G64" s="12" t="s">
        <v>80</v>
      </c>
      <c r="H64" s="11">
        <v>998</v>
      </c>
      <c r="I64" s="11">
        <v>49900</v>
      </c>
      <c r="J64" s="13"/>
      <c r="K64" s="15"/>
      <c r="L64" s="24"/>
      <c r="M64" s="24"/>
      <c r="N64" s="24"/>
      <c r="O64" s="24"/>
      <c r="P64" s="24"/>
      <c r="Q64" s="24"/>
      <c r="R64" s="24"/>
      <c r="S64" s="24"/>
      <c r="T64" s="24"/>
      <c r="U64" s="24"/>
    </row>
    <row r="65" spans="1:21" ht="100.05" customHeight="1" x14ac:dyDescent="0.25">
      <c r="A65" s="11">
        <v>7</v>
      </c>
      <c r="B65" s="12" t="s">
        <v>174</v>
      </c>
      <c r="C65" s="12" t="s">
        <v>175</v>
      </c>
      <c r="D65" s="13" t="str">
        <f>_xlfn.DISPIMG("ID_949CED0D68E9494BB65238DE97408E6A",1)</f>
        <v>=DISPIMG("ID_949CED0D68E9494BB65238DE97408E6A",1)</v>
      </c>
      <c r="E65" s="37" t="s">
        <v>176</v>
      </c>
      <c r="F65" s="11">
        <v>2</v>
      </c>
      <c r="G65" s="12" t="s">
        <v>16</v>
      </c>
      <c r="H65" s="11">
        <v>660</v>
      </c>
      <c r="I65" s="11">
        <v>1320</v>
      </c>
      <c r="J65" s="13"/>
      <c r="K65" s="15"/>
      <c r="L65" s="24"/>
      <c r="M65" s="24"/>
      <c r="N65" s="24"/>
      <c r="O65" s="24"/>
      <c r="P65" s="24"/>
      <c r="Q65" s="24"/>
      <c r="R65" s="24"/>
      <c r="S65" s="24"/>
      <c r="T65" s="24"/>
      <c r="U65" s="24"/>
    </row>
    <row r="66" spans="1:21" ht="100.05" customHeight="1" x14ac:dyDescent="0.25">
      <c r="A66" s="11">
        <v>8</v>
      </c>
      <c r="B66" s="12" t="s">
        <v>177</v>
      </c>
      <c r="C66" s="12" t="s">
        <v>21</v>
      </c>
      <c r="D66" s="13" t="str">
        <f>_xlfn.DISPIMG("ID_E0E6702AF6164072B2835A9376EFCCAE",1)</f>
        <v>=DISPIMG("ID_E0E6702AF6164072B2835A9376EFCCAE",1)</v>
      </c>
      <c r="E66" s="37" t="s">
        <v>178</v>
      </c>
      <c r="F66" s="11">
        <v>6</v>
      </c>
      <c r="G66" s="12" t="s">
        <v>16</v>
      </c>
      <c r="H66" s="11">
        <v>338</v>
      </c>
      <c r="I66" s="11">
        <v>2028</v>
      </c>
      <c r="J66" s="13"/>
      <c r="K66" s="15"/>
      <c r="L66" s="24"/>
      <c r="M66" s="24"/>
      <c r="N66" s="24"/>
      <c r="O66" s="24"/>
      <c r="P66" s="24"/>
      <c r="Q66" s="24"/>
      <c r="R66" s="24"/>
      <c r="S66" s="24"/>
      <c r="T66" s="24"/>
      <c r="U66" s="24"/>
    </row>
    <row r="67" spans="1:21" ht="19.95" customHeight="1" x14ac:dyDescent="0.25">
      <c r="A67" s="86" t="s">
        <v>179</v>
      </c>
      <c r="B67" s="84"/>
      <c r="C67" s="84"/>
      <c r="D67" s="84"/>
      <c r="E67" s="84"/>
      <c r="F67" s="84"/>
      <c r="G67" s="84"/>
      <c r="H67" s="84"/>
      <c r="I67" s="84"/>
      <c r="J67" s="84"/>
      <c r="K67" s="10"/>
      <c r="L67" s="83" t="s">
        <v>179</v>
      </c>
      <c r="M67" s="84"/>
      <c r="N67" s="84"/>
      <c r="O67" s="84"/>
      <c r="P67" s="84"/>
      <c r="Q67" s="84" t="s">
        <v>100</v>
      </c>
      <c r="R67" s="84"/>
      <c r="S67" s="84"/>
      <c r="T67" s="84"/>
      <c r="U67" s="84"/>
    </row>
    <row r="68" spans="1:21" ht="100.05" customHeight="1" x14ac:dyDescent="0.25">
      <c r="A68" s="11">
        <v>1</v>
      </c>
      <c r="B68" s="12" t="s">
        <v>180</v>
      </c>
      <c r="C68" s="12" t="s">
        <v>181</v>
      </c>
      <c r="D68" s="13" t="str">
        <f>_xlfn.DISPIMG("ID_6C1B24E15BF44D56928F5B172B1AF163",1)</f>
        <v>=DISPIMG("ID_6C1B24E15BF44D56928F5B172B1AF163",1)</v>
      </c>
      <c r="E68" s="37" t="s">
        <v>182</v>
      </c>
      <c r="F68" s="11">
        <v>3</v>
      </c>
      <c r="G68" s="12" t="s">
        <v>16</v>
      </c>
      <c r="H68" s="11">
        <v>16660</v>
      </c>
      <c r="I68" s="11">
        <v>49980</v>
      </c>
      <c r="J68" s="12" t="s">
        <v>183</v>
      </c>
      <c r="K68" s="27"/>
      <c r="L68" s="11">
        <v>1</v>
      </c>
      <c r="M68" s="12" t="s">
        <v>184</v>
      </c>
      <c r="N68" s="13" t="str">
        <f>_xlfn.DISPIMG("ID_B03600B2CE59458B9F8BD861F11DF4F5",1)</f>
        <v>=DISPIMG("ID_B03600B2CE59458B9F8BD861F11DF4F5",1)</v>
      </c>
      <c r="O68" s="12" t="s">
        <v>185</v>
      </c>
      <c r="P68" s="37" t="s">
        <v>186</v>
      </c>
      <c r="Q68" s="11">
        <v>1</v>
      </c>
      <c r="R68" s="12" t="s">
        <v>16</v>
      </c>
      <c r="S68" s="11">
        <v>5100</v>
      </c>
      <c r="T68" s="11">
        <v>5100</v>
      </c>
      <c r="U68" s="76" t="s">
        <v>187</v>
      </c>
    </row>
    <row r="69" spans="1:21" ht="100.05" customHeight="1" x14ac:dyDescent="0.25">
      <c r="A69" s="11">
        <v>2</v>
      </c>
      <c r="B69" s="12" t="s">
        <v>180</v>
      </c>
      <c r="C69" s="12" t="s">
        <v>188</v>
      </c>
      <c r="D69" s="13" t="str">
        <f>_xlfn.DISPIMG("ID_5384451FD0F943C5921E2EDAA5A4F6CD",1)</f>
        <v>=DISPIMG("ID_5384451FD0F943C5921E2EDAA5A4F6CD",1)</v>
      </c>
      <c r="E69" s="37" t="s">
        <v>182</v>
      </c>
      <c r="F69" s="11">
        <v>1</v>
      </c>
      <c r="G69" s="12" t="s">
        <v>16</v>
      </c>
      <c r="H69" s="11">
        <v>10753</v>
      </c>
      <c r="I69" s="11">
        <v>10753</v>
      </c>
      <c r="J69" s="12" t="s">
        <v>189</v>
      </c>
      <c r="K69" s="27"/>
      <c r="L69" s="11">
        <v>2</v>
      </c>
      <c r="M69" s="12" t="s">
        <v>190</v>
      </c>
      <c r="N69" s="13" t="str">
        <f>_xlfn.DISPIMG("ID_DA69EFE9C61C4054861763F2B1A43DE4",1)</f>
        <v>=DISPIMG("ID_DA69EFE9C61C4054861763F2B1A43DE4",1)</v>
      </c>
      <c r="O69" s="12" t="s">
        <v>21</v>
      </c>
      <c r="P69" s="37" t="s">
        <v>191</v>
      </c>
      <c r="Q69" s="11">
        <v>7</v>
      </c>
      <c r="R69" s="12" t="s">
        <v>16</v>
      </c>
      <c r="S69" s="11">
        <v>480</v>
      </c>
      <c r="T69" s="11">
        <v>3360</v>
      </c>
      <c r="U69" s="76"/>
    </row>
    <row r="70" spans="1:21" ht="100.05" customHeight="1" x14ac:dyDescent="0.25">
      <c r="A70" s="11">
        <v>3</v>
      </c>
      <c r="B70" s="12" t="s">
        <v>192</v>
      </c>
      <c r="C70" s="12" t="s">
        <v>21</v>
      </c>
      <c r="D70" s="13" t="str">
        <f>_xlfn.DISPIMG("ID_83B2489083AA4767A426B9AD0833C176",1)</f>
        <v>=DISPIMG("ID_83B2489083AA4767A426B9AD0833C176",1)</v>
      </c>
      <c r="E70" s="37" t="s">
        <v>193</v>
      </c>
      <c r="F70" s="11">
        <v>66</v>
      </c>
      <c r="G70" s="12" t="s">
        <v>16</v>
      </c>
      <c r="H70" s="11">
        <v>1118</v>
      </c>
      <c r="I70" s="11">
        <v>73788</v>
      </c>
      <c r="J70" s="12" t="s">
        <v>194</v>
      </c>
      <c r="K70" s="27"/>
      <c r="L70" s="87">
        <v>3</v>
      </c>
      <c r="M70" s="78" t="s">
        <v>195</v>
      </c>
      <c r="N70" s="77" t="str">
        <f>_xlfn.DISPIMG("ID_B3633DB99DA94034BE8BC6FAD493BDE6",1)</f>
        <v>=DISPIMG("ID_B3633DB99DA94034BE8BC6FAD493BDE6",1)</v>
      </c>
      <c r="O70" s="12" t="s">
        <v>196</v>
      </c>
      <c r="P70" s="79" t="s">
        <v>197</v>
      </c>
      <c r="Q70" s="11">
        <v>25</v>
      </c>
      <c r="R70" s="12" t="s">
        <v>16</v>
      </c>
      <c r="S70" s="11">
        <v>950</v>
      </c>
      <c r="T70" s="11">
        <v>23750</v>
      </c>
      <c r="U70" s="76"/>
    </row>
    <row r="71" spans="1:21" ht="100.05" customHeight="1" x14ac:dyDescent="0.25">
      <c r="A71" s="11">
        <v>4</v>
      </c>
      <c r="B71" s="12" t="s">
        <v>180</v>
      </c>
      <c r="C71" s="12" t="s">
        <v>188</v>
      </c>
      <c r="D71" s="13" t="str">
        <f>_xlfn.DISPIMG("ID_302FB4AE5FDE4D1682E5141CB5365B29",1)</f>
        <v>=DISPIMG("ID_302FB4AE5FDE4D1682E5141CB5365B29",1)</v>
      </c>
      <c r="E71" s="37" t="s">
        <v>198</v>
      </c>
      <c r="F71" s="11">
        <v>4</v>
      </c>
      <c r="G71" s="12" t="s">
        <v>16</v>
      </c>
      <c r="H71" s="11">
        <v>3228</v>
      </c>
      <c r="I71" s="11">
        <v>12912</v>
      </c>
      <c r="J71" s="12" t="s">
        <v>199</v>
      </c>
      <c r="K71" s="27"/>
      <c r="L71" s="76"/>
      <c r="M71" s="76"/>
      <c r="N71" s="77"/>
      <c r="O71" s="12" t="s">
        <v>200</v>
      </c>
      <c r="P71" s="80"/>
      <c r="Q71" s="11">
        <v>33</v>
      </c>
      <c r="R71" s="12" t="s">
        <v>16</v>
      </c>
      <c r="S71" s="11">
        <v>680</v>
      </c>
      <c r="T71" s="11">
        <v>22440</v>
      </c>
      <c r="U71" s="76"/>
    </row>
    <row r="72" spans="1:21" ht="100.05" customHeight="1" x14ac:dyDescent="0.25">
      <c r="A72" s="11">
        <v>5</v>
      </c>
      <c r="B72" s="12" t="s">
        <v>180</v>
      </c>
      <c r="C72" s="12" t="s">
        <v>201</v>
      </c>
      <c r="D72" s="13" t="str">
        <f>_xlfn.DISPIMG("ID_755C96FA54D543A6BB705AB14540DDBA",1)</f>
        <v>=DISPIMG("ID_755C96FA54D543A6BB705AB14540DDBA",1)</v>
      </c>
      <c r="E72" s="37" t="s">
        <v>198</v>
      </c>
      <c r="F72" s="11">
        <v>1</v>
      </c>
      <c r="G72" s="12" t="s">
        <v>16</v>
      </c>
      <c r="H72" s="11">
        <v>2938</v>
      </c>
      <c r="I72" s="11">
        <v>2938</v>
      </c>
      <c r="J72" s="12" t="s">
        <v>202</v>
      </c>
      <c r="K72" s="27"/>
      <c r="L72" s="11">
        <v>4</v>
      </c>
      <c r="M72" s="12" t="s">
        <v>203</v>
      </c>
      <c r="N72" s="13" t="str">
        <f>_xlfn.DISPIMG("ID_36FDF7EAFBA74705BA685380A9E5C7B9",1)</f>
        <v>=DISPIMG("ID_36FDF7EAFBA74705BA685380A9E5C7B9",1)</v>
      </c>
      <c r="O72" s="12" t="s">
        <v>21</v>
      </c>
      <c r="P72" s="37" t="s">
        <v>186</v>
      </c>
      <c r="Q72" s="11">
        <v>1</v>
      </c>
      <c r="R72" s="12" t="s">
        <v>16</v>
      </c>
      <c r="S72" s="11">
        <v>2160</v>
      </c>
      <c r="T72" s="11">
        <v>2160</v>
      </c>
      <c r="U72" s="76"/>
    </row>
    <row r="73" spans="1:21" ht="100.05" customHeight="1" x14ac:dyDescent="0.25">
      <c r="A73" s="11">
        <v>6</v>
      </c>
      <c r="B73" s="12" t="s">
        <v>192</v>
      </c>
      <c r="C73" s="12" t="s">
        <v>21</v>
      </c>
      <c r="D73" s="13" t="str">
        <f>_xlfn.DISPIMG("ID_246F832CCAAB4DC59B631FE019A5B62A",1)</f>
        <v>=DISPIMG("ID_246F832CCAAB4DC59B631FE019A5B62A",1)</v>
      </c>
      <c r="E73" s="37" t="s">
        <v>178</v>
      </c>
      <c r="F73" s="11">
        <v>58</v>
      </c>
      <c r="G73" s="12" t="s">
        <v>16</v>
      </c>
      <c r="H73" s="11">
        <v>338</v>
      </c>
      <c r="I73" s="11">
        <v>19604</v>
      </c>
      <c r="J73" s="13"/>
      <c r="K73" s="15"/>
      <c r="L73" s="11">
        <v>5</v>
      </c>
      <c r="M73" s="12" t="s">
        <v>203</v>
      </c>
      <c r="N73" s="13" t="str">
        <f>_xlfn.DISPIMG("ID_DAD4925C54EC464E874810237DFD168D",1)</f>
        <v>=DISPIMG("ID_DAD4925C54EC464E874810237DFD168D",1)</v>
      </c>
      <c r="O73" s="12" t="s">
        <v>21</v>
      </c>
      <c r="P73" s="37" t="s">
        <v>204</v>
      </c>
      <c r="Q73" s="11">
        <v>141</v>
      </c>
      <c r="R73" s="12" t="s">
        <v>16</v>
      </c>
      <c r="S73" s="11">
        <v>195</v>
      </c>
      <c r="T73" s="11">
        <v>27495</v>
      </c>
      <c r="U73" s="76"/>
    </row>
    <row r="74" spans="1:21" ht="100.05" customHeight="1" x14ac:dyDescent="0.25">
      <c r="A74" s="11">
        <v>7</v>
      </c>
      <c r="B74" s="12" t="s">
        <v>180</v>
      </c>
      <c r="C74" s="12" t="s">
        <v>205</v>
      </c>
      <c r="D74" s="13" t="str">
        <f>_xlfn.DISPIMG("ID_67969F64839D4703B13321454BB82153",1)</f>
        <v>=DISPIMG("ID_67969F64839D4703B13321454BB82153",1)</v>
      </c>
      <c r="E74" s="37" t="s">
        <v>206</v>
      </c>
      <c r="F74" s="11">
        <v>1</v>
      </c>
      <c r="G74" s="12" t="s">
        <v>16</v>
      </c>
      <c r="H74" s="11">
        <v>66660</v>
      </c>
      <c r="I74" s="11">
        <v>66660</v>
      </c>
      <c r="J74" s="13"/>
      <c r="K74" s="15"/>
      <c r="L74" s="11">
        <v>1</v>
      </c>
      <c r="M74" s="12" t="s">
        <v>180</v>
      </c>
      <c r="N74" s="13" t="str">
        <f>_xlfn.DISPIMG("ID_BCCB40625A39475B80E3270BCC001F0D",1)</f>
        <v>=DISPIMG("ID_BCCB40625A39475B80E3270BCC001F0D",1)</v>
      </c>
      <c r="O74" s="12" t="s">
        <v>181</v>
      </c>
      <c r="P74" s="37" t="s">
        <v>19</v>
      </c>
      <c r="Q74" s="11">
        <v>2</v>
      </c>
      <c r="R74" s="12" t="s">
        <v>16</v>
      </c>
      <c r="S74" s="11">
        <v>11980</v>
      </c>
      <c r="T74" s="11">
        <v>23960</v>
      </c>
      <c r="U74" s="75" t="s">
        <v>207</v>
      </c>
    </row>
    <row r="75" spans="1:21" ht="100.05" customHeight="1" x14ac:dyDescent="0.25">
      <c r="A75" s="11">
        <v>8</v>
      </c>
      <c r="B75" s="12" t="s">
        <v>192</v>
      </c>
      <c r="C75" s="12" t="s">
        <v>21</v>
      </c>
      <c r="D75" s="13" t="str">
        <f>_xlfn.DISPIMG("ID_C41CE0D020584A6EA1761F127C1D3085",1)</f>
        <v>=DISPIMG("ID_C41CE0D020584A6EA1761F127C1D3085",1)</v>
      </c>
      <c r="E75" s="37" t="s">
        <v>208</v>
      </c>
      <c r="F75" s="11">
        <v>75</v>
      </c>
      <c r="G75" s="12" t="s">
        <v>16</v>
      </c>
      <c r="H75" s="11">
        <v>613</v>
      </c>
      <c r="I75" s="11">
        <v>45975</v>
      </c>
      <c r="J75" s="13"/>
      <c r="K75" s="15"/>
      <c r="L75" s="11">
        <v>2</v>
      </c>
      <c r="M75" s="12" t="s">
        <v>192</v>
      </c>
      <c r="N75" s="13" t="str">
        <f>_xlfn.DISPIMG("ID_685563378A3842729969DFE66649A607",1)</f>
        <v>=DISPIMG("ID_685563378A3842729969DFE66649A607",1)</v>
      </c>
      <c r="O75" s="12" t="s">
        <v>21</v>
      </c>
      <c r="P75" s="37" t="s">
        <v>209</v>
      </c>
      <c r="Q75" s="11">
        <v>36</v>
      </c>
      <c r="R75" s="12" t="s">
        <v>16</v>
      </c>
      <c r="S75" s="11">
        <v>800</v>
      </c>
      <c r="T75" s="11">
        <v>28800</v>
      </c>
      <c r="U75" s="75"/>
    </row>
    <row r="76" spans="1:21" ht="100.05" customHeight="1" x14ac:dyDescent="0.25">
      <c r="A76" s="11">
        <v>9</v>
      </c>
      <c r="B76" s="12" t="s">
        <v>195</v>
      </c>
      <c r="C76" s="12" t="s">
        <v>210</v>
      </c>
      <c r="D76" s="13" t="str">
        <f>_xlfn.DISPIMG("ID_B93735FAC6F54A2880FEDE5411AEEAFC",1)</f>
        <v>=DISPIMG("ID_B93735FAC6F54A2880FEDE5411AEEAFC",1)</v>
      </c>
      <c r="E76" s="37" t="s">
        <v>56</v>
      </c>
      <c r="F76" s="11">
        <v>3</v>
      </c>
      <c r="G76" s="12" t="s">
        <v>16</v>
      </c>
      <c r="H76" s="11">
        <v>2245</v>
      </c>
      <c r="I76" s="11">
        <v>6735</v>
      </c>
      <c r="J76" s="13"/>
      <c r="K76" s="15"/>
      <c r="L76" s="11">
        <v>1</v>
      </c>
      <c r="M76" s="12" t="s">
        <v>180</v>
      </c>
      <c r="N76" s="13" t="str">
        <f>_xlfn.DISPIMG("ID_871D21583A504E9F9CF80397DEE9D018",1)</f>
        <v>=DISPIMG("ID_871D21583A504E9F9CF80397DEE9D018",1)</v>
      </c>
      <c r="O76" s="12" t="s">
        <v>211</v>
      </c>
      <c r="P76" s="37" t="s">
        <v>197</v>
      </c>
      <c r="Q76" s="11">
        <v>2</v>
      </c>
      <c r="R76" s="12" t="s">
        <v>16</v>
      </c>
      <c r="S76" s="11">
        <v>1400</v>
      </c>
      <c r="T76" s="11">
        <v>2800</v>
      </c>
      <c r="U76" s="75" t="s">
        <v>212</v>
      </c>
    </row>
    <row r="77" spans="1:21" ht="100.05" customHeight="1" x14ac:dyDescent="0.25">
      <c r="A77" s="11">
        <v>10</v>
      </c>
      <c r="B77" s="12" t="s">
        <v>192</v>
      </c>
      <c r="C77" s="12" t="s">
        <v>21</v>
      </c>
      <c r="D77" s="13" t="str">
        <f>_xlfn.DISPIMG("ID_08BC7D64F96243859A537AA4052F805E",1)</f>
        <v>=DISPIMG("ID_08BC7D64F96243859A537AA4052F805E",1)</v>
      </c>
      <c r="E77" s="37" t="s">
        <v>208</v>
      </c>
      <c r="F77" s="11">
        <v>6</v>
      </c>
      <c r="G77" s="12" t="s">
        <v>16</v>
      </c>
      <c r="H77" s="11">
        <v>613</v>
      </c>
      <c r="I77" s="11">
        <v>3678</v>
      </c>
      <c r="J77" s="13"/>
      <c r="K77" s="15"/>
      <c r="L77" s="11">
        <v>2</v>
      </c>
      <c r="M77" s="12" t="s">
        <v>192</v>
      </c>
      <c r="N77" s="13" t="str">
        <f>_xlfn.DISPIMG("ID_BF25884A2A364EF3AE4B6A160855938E",1)</f>
        <v>=DISPIMG("ID_BF25884A2A364EF3AE4B6A160855938E",1)</v>
      </c>
      <c r="O77" s="12" t="s">
        <v>21</v>
      </c>
      <c r="P77" s="37" t="s">
        <v>204</v>
      </c>
      <c r="Q77" s="11">
        <v>20</v>
      </c>
      <c r="R77" s="12" t="s">
        <v>16</v>
      </c>
      <c r="S77" s="11">
        <v>280</v>
      </c>
      <c r="T77" s="11">
        <v>5600</v>
      </c>
      <c r="U77" s="75"/>
    </row>
    <row r="78" spans="1:21" ht="100.05" customHeight="1" x14ac:dyDescent="0.25">
      <c r="A78" s="11">
        <v>11</v>
      </c>
      <c r="B78" s="12" t="s">
        <v>195</v>
      </c>
      <c r="C78" s="12" t="s">
        <v>213</v>
      </c>
      <c r="D78" s="13" t="str">
        <f>_xlfn.DISPIMG("ID_136F7DC2AD1F4FFA9EC55EFE7BBA1AF0",1)</f>
        <v>=DISPIMG("ID_136F7DC2AD1F4FFA9EC55EFE7BBA1AF0",1)</v>
      </c>
      <c r="E78" s="37" t="s">
        <v>214</v>
      </c>
      <c r="F78" s="11">
        <v>2</v>
      </c>
      <c r="G78" s="12" t="s">
        <v>16</v>
      </c>
      <c r="H78" s="11">
        <v>1250</v>
      </c>
      <c r="I78" s="11">
        <v>2500</v>
      </c>
      <c r="J78" s="13"/>
      <c r="K78" s="15"/>
      <c r="L78" s="24"/>
      <c r="M78" s="24"/>
      <c r="N78" s="24"/>
      <c r="O78" s="24"/>
      <c r="P78" s="24"/>
      <c r="Q78" s="24"/>
      <c r="R78" s="24"/>
      <c r="S78" s="24"/>
      <c r="T78" s="24"/>
      <c r="U78" s="24"/>
    </row>
    <row r="79" spans="1:21" ht="100.05" customHeight="1" x14ac:dyDescent="0.25">
      <c r="A79" s="11">
        <v>12</v>
      </c>
      <c r="B79" s="12" t="s">
        <v>195</v>
      </c>
      <c r="C79" s="12" t="s">
        <v>215</v>
      </c>
      <c r="D79" s="13" t="str">
        <f>_xlfn.DISPIMG("ID_FA5BCFE7A08B48A8867525E5E15912DC",1)</f>
        <v>=DISPIMG("ID_FA5BCFE7A08B48A8867525E5E15912DC",1)</v>
      </c>
      <c r="E79" s="37" t="s">
        <v>214</v>
      </c>
      <c r="F79" s="11">
        <v>2</v>
      </c>
      <c r="G79" s="12" t="s">
        <v>16</v>
      </c>
      <c r="H79" s="11">
        <v>1547</v>
      </c>
      <c r="I79" s="11">
        <v>3094</v>
      </c>
      <c r="J79" s="13"/>
      <c r="K79" s="15"/>
      <c r="L79" s="24"/>
      <c r="M79" s="24"/>
      <c r="N79" s="24"/>
      <c r="O79" s="24"/>
      <c r="P79" s="24"/>
      <c r="Q79" s="24"/>
      <c r="R79" s="24"/>
      <c r="S79" s="24"/>
      <c r="T79" s="24"/>
      <c r="U79" s="24"/>
    </row>
    <row r="80" spans="1:21" ht="100.05" customHeight="1" x14ac:dyDescent="0.25">
      <c r="A80" s="11">
        <v>13</v>
      </c>
      <c r="B80" s="12" t="s">
        <v>216</v>
      </c>
      <c r="C80" s="12" t="s">
        <v>21</v>
      </c>
      <c r="D80" s="13" t="str">
        <f>_xlfn.DISPIMG("ID_57D99CFA74E84E6A9D38DD4F91BED37F",1)</f>
        <v>=DISPIMG("ID_57D99CFA74E84E6A9D38DD4F91BED37F",1)</v>
      </c>
      <c r="E80" s="37" t="s">
        <v>217</v>
      </c>
      <c r="F80" s="11">
        <v>10</v>
      </c>
      <c r="G80" s="12" t="s">
        <v>16</v>
      </c>
      <c r="H80" s="11">
        <v>355</v>
      </c>
      <c r="I80" s="11">
        <v>3550</v>
      </c>
      <c r="J80" s="13"/>
      <c r="K80" s="15"/>
      <c r="L80" s="24"/>
      <c r="M80" s="24"/>
      <c r="N80" s="24"/>
      <c r="O80" s="24"/>
      <c r="P80" s="24"/>
      <c r="Q80" s="24"/>
      <c r="R80" s="24"/>
      <c r="S80" s="24"/>
      <c r="T80" s="24"/>
      <c r="U80" s="24"/>
    </row>
    <row r="81" spans="1:21" ht="100.05" customHeight="1" x14ac:dyDescent="0.25">
      <c r="A81" s="11">
        <v>14</v>
      </c>
      <c r="B81" s="12" t="s">
        <v>216</v>
      </c>
      <c r="C81" s="12" t="s">
        <v>21</v>
      </c>
      <c r="D81" s="13" t="str">
        <f>_xlfn.DISPIMG("ID_09019C7E766D41EEB4C22FE49A28E410",1)</f>
        <v>=DISPIMG("ID_09019C7E766D41EEB4C22FE49A28E410",1)</v>
      </c>
      <c r="E81" s="37" t="s">
        <v>218</v>
      </c>
      <c r="F81" s="11">
        <v>131</v>
      </c>
      <c r="G81" s="12" t="s">
        <v>16</v>
      </c>
      <c r="H81" s="11">
        <v>435</v>
      </c>
      <c r="I81" s="11">
        <v>56985</v>
      </c>
      <c r="J81" s="13"/>
      <c r="K81" s="15"/>
      <c r="L81" s="24"/>
      <c r="M81" s="24"/>
      <c r="N81" s="24"/>
      <c r="O81" s="24"/>
      <c r="P81" s="24"/>
      <c r="Q81" s="24"/>
      <c r="R81" s="24"/>
      <c r="S81" s="24"/>
      <c r="T81" s="24"/>
      <c r="U81" s="24"/>
    </row>
    <row r="82" spans="1:21" ht="19.95" customHeight="1" x14ac:dyDescent="0.25">
      <c r="A82" s="86" t="s">
        <v>219</v>
      </c>
      <c r="B82" s="84"/>
      <c r="C82" s="84"/>
      <c r="D82" s="84"/>
      <c r="E82" s="84"/>
      <c r="F82" s="84"/>
      <c r="G82" s="84"/>
      <c r="H82" s="84"/>
      <c r="I82" s="84"/>
      <c r="J82" s="84"/>
      <c r="K82" s="10"/>
      <c r="L82" s="83" t="s">
        <v>219</v>
      </c>
      <c r="M82" s="84"/>
      <c r="N82" s="84"/>
      <c r="O82" s="84"/>
      <c r="P82" s="84"/>
      <c r="Q82" s="84" t="s">
        <v>100</v>
      </c>
      <c r="R82" s="84"/>
      <c r="S82" s="84"/>
      <c r="T82" s="84"/>
      <c r="U82" s="84"/>
    </row>
    <row r="83" spans="1:21" ht="100.05" customHeight="1" x14ac:dyDescent="0.25">
      <c r="A83" s="11">
        <v>1</v>
      </c>
      <c r="B83" s="12" t="s">
        <v>220</v>
      </c>
      <c r="C83" s="12" t="s">
        <v>221</v>
      </c>
      <c r="D83" s="13" t="str">
        <f>_xlfn.DISPIMG("ID_29F2B250C4C24DF3A7DCD589E883856E",1)</f>
        <v>=DISPIMG("ID_29F2B250C4C24DF3A7DCD589E883856E",1)</v>
      </c>
      <c r="E83" s="37" t="s">
        <v>222</v>
      </c>
      <c r="F83" s="11">
        <v>3</v>
      </c>
      <c r="G83" s="12" t="s">
        <v>16</v>
      </c>
      <c r="H83" s="11">
        <v>3335</v>
      </c>
      <c r="I83" s="11">
        <v>10005</v>
      </c>
      <c r="J83" s="12" t="s">
        <v>223</v>
      </c>
      <c r="K83" s="27"/>
      <c r="L83" s="87">
        <v>1</v>
      </c>
      <c r="M83" s="12" t="s">
        <v>113</v>
      </c>
      <c r="N83" s="77" t="str">
        <f>_xlfn.DISPIMG("ID_0550517128844CD280E32799DD8DD7F6",1)</f>
        <v>=DISPIMG("ID_0550517128844CD280E32799DD8DD7F6",1)</v>
      </c>
      <c r="O83" s="12" t="s">
        <v>114</v>
      </c>
      <c r="P83" s="79" t="s">
        <v>47</v>
      </c>
      <c r="Q83" s="11">
        <v>1</v>
      </c>
      <c r="R83" s="12" t="s">
        <v>16</v>
      </c>
      <c r="S83" s="11">
        <v>2550</v>
      </c>
      <c r="T83" s="11">
        <v>2550</v>
      </c>
      <c r="U83" s="75" t="s">
        <v>224</v>
      </c>
    </row>
    <row r="84" spans="1:21" ht="100.05" customHeight="1" x14ac:dyDescent="0.25">
      <c r="A84" s="11">
        <v>2</v>
      </c>
      <c r="B84" s="12" t="s">
        <v>225</v>
      </c>
      <c r="C84" s="12" t="s">
        <v>226</v>
      </c>
      <c r="D84" s="13" t="str">
        <f>_xlfn.DISPIMG("ID_F5D4DBF2BA834C94A0C647A7E8A5F602",1)</f>
        <v>=DISPIMG("ID_F5D4DBF2BA834C94A0C647A7E8A5F602",1)</v>
      </c>
      <c r="E84" s="37" t="s">
        <v>222</v>
      </c>
      <c r="F84" s="11">
        <v>3</v>
      </c>
      <c r="G84" s="12" t="s">
        <v>16</v>
      </c>
      <c r="H84" s="11">
        <v>2668</v>
      </c>
      <c r="I84" s="11">
        <v>8004</v>
      </c>
      <c r="J84" s="12" t="s">
        <v>223</v>
      </c>
      <c r="K84" s="27"/>
      <c r="L84" s="76"/>
      <c r="M84" s="12" t="s">
        <v>227</v>
      </c>
      <c r="N84" s="77"/>
      <c r="O84" s="12" t="s">
        <v>228</v>
      </c>
      <c r="P84" s="80"/>
      <c r="Q84" s="11">
        <v>1</v>
      </c>
      <c r="R84" s="12" t="s">
        <v>16</v>
      </c>
      <c r="S84" s="11">
        <v>1980</v>
      </c>
      <c r="T84" s="11">
        <v>1980</v>
      </c>
      <c r="U84" s="75"/>
    </row>
    <row r="85" spans="1:21" ht="100.05" customHeight="1" x14ac:dyDescent="0.25">
      <c r="A85" s="11">
        <v>3</v>
      </c>
      <c r="B85" s="12" t="s">
        <v>51</v>
      </c>
      <c r="C85" s="12" t="s">
        <v>229</v>
      </c>
      <c r="D85" s="13" t="str">
        <f>_xlfn.DISPIMG("ID_9A920A5A59B948E985EFDFD0DC23B02B",1)</f>
        <v>=DISPIMG("ID_9A920A5A59B948E985EFDFD0DC23B02B",1)</v>
      </c>
      <c r="E85" s="37" t="s">
        <v>230</v>
      </c>
      <c r="F85" s="11">
        <v>3</v>
      </c>
      <c r="G85" s="12" t="s">
        <v>16</v>
      </c>
      <c r="H85" s="11">
        <v>1485</v>
      </c>
      <c r="I85" s="11">
        <v>4455</v>
      </c>
      <c r="J85" s="13"/>
      <c r="K85" s="15"/>
      <c r="L85" s="76"/>
      <c r="M85" s="12" t="s">
        <v>53</v>
      </c>
      <c r="N85" s="77"/>
      <c r="O85" s="12" t="s">
        <v>231</v>
      </c>
      <c r="P85" s="80"/>
      <c r="Q85" s="11">
        <v>1</v>
      </c>
      <c r="R85" s="12" t="s">
        <v>16</v>
      </c>
      <c r="S85" s="11">
        <v>1480</v>
      </c>
      <c r="T85" s="11">
        <v>1480</v>
      </c>
      <c r="U85" s="75"/>
    </row>
    <row r="86" spans="1:21" ht="100.05" customHeight="1" x14ac:dyDescent="0.25">
      <c r="A86" s="11">
        <v>4</v>
      </c>
      <c r="B86" s="12" t="s">
        <v>54</v>
      </c>
      <c r="C86" s="12" t="s">
        <v>232</v>
      </c>
      <c r="D86" s="13" t="str">
        <f>_xlfn.DISPIMG("ID_737F7C830EBB4B798A7D53E0EECD1707",1)</f>
        <v>=DISPIMG("ID_737F7C830EBB4B798A7D53E0EECD1707",1)</v>
      </c>
      <c r="E86" s="37" t="s">
        <v>233</v>
      </c>
      <c r="F86" s="11">
        <v>3</v>
      </c>
      <c r="G86" s="12" t="s">
        <v>16</v>
      </c>
      <c r="H86" s="11">
        <v>1698</v>
      </c>
      <c r="I86" s="11">
        <v>5094</v>
      </c>
      <c r="J86" s="12" t="s">
        <v>223</v>
      </c>
      <c r="K86" s="27"/>
      <c r="L86" s="11">
        <v>2</v>
      </c>
      <c r="M86" s="12" t="s">
        <v>54</v>
      </c>
      <c r="N86" s="13" t="str">
        <f>_xlfn.DISPIMG("ID_950A3C1F4AA74FAA8D2A6C06FF5BA978",1)</f>
        <v>=DISPIMG("ID_950A3C1F4AA74FAA8D2A6C06FF5BA978",1)</v>
      </c>
      <c r="O86" s="12" t="s">
        <v>234</v>
      </c>
      <c r="P86" s="37" t="s">
        <v>235</v>
      </c>
      <c r="Q86" s="11">
        <v>1</v>
      </c>
      <c r="R86" s="12" t="s">
        <v>16</v>
      </c>
      <c r="S86" s="11">
        <v>1450</v>
      </c>
      <c r="T86" s="11">
        <v>1450</v>
      </c>
      <c r="U86" s="75"/>
    </row>
    <row r="87" spans="1:21" ht="100.05" customHeight="1" x14ac:dyDescent="0.25">
      <c r="A87" s="11">
        <v>5</v>
      </c>
      <c r="B87" s="12" t="s">
        <v>236</v>
      </c>
      <c r="C87" s="12" t="s">
        <v>237</v>
      </c>
      <c r="D87" s="13" t="str">
        <f>_xlfn.DISPIMG("ID_A023609E2F14444095A1F7895A79E209",1)</f>
        <v>=DISPIMG("ID_A023609E2F14444095A1F7895A79E209",1)</v>
      </c>
      <c r="E87" s="37" t="s">
        <v>238</v>
      </c>
      <c r="F87" s="11">
        <v>3</v>
      </c>
      <c r="G87" s="12" t="s">
        <v>16</v>
      </c>
      <c r="H87" s="11">
        <v>1370</v>
      </c>
      <c r="I87" s="11">
        <v>4110</v>
      </c>
      <c r="J87" s="12" t="s">
        <v>223</v>
      </c>
      <c r="K87" s="27"/>
      <c r="L87" s="11">
        <v>3</v>
      </c>
      <c r="M87" s="12" t="s">
        <v>61</v>
      </c>
      <c r="N87" s="13" t="str">
        <f>_xlfn.DISPIMG("ID_1D4E36286E0047B2B2EEB2C4581EE748",1)</f>
        <v>=DISPIMG("ID_1D4E36286E0047B2B2EEB2C4581EE748",1)</v>
      </c>
      <c r="O87" s="12" t="s">
        <v>239</v>
      </c>
      <c r="P87" s="37" t="s">
        <v>235</v>
      </c>
      <c r="Q87" s="11">
        <v>2</v>
      </c>
      <c r="R87" s="12" t="s">
        <v>16</v>
      </c>
      <c r="S87" s="11">
        <v>700</v>
      </c>
      <c r="T87" s="11">
        <v>1400</v>
      </c>
      <c r="U87" s="75"/>
    </row>
    <row r="88" spans="1:21" ht="100.05" customHeight="1" x14ac:dyDescent="0.25">
      <c r="A88" s="24"/>
      <c r="B88" s="24"/>
      <c r="C88" s="24"/>
      <c r="D88" s="24"/>
      <c r="E88" s="24"/>
      <c r="F88" s="24"/>
      <c r="G88" s="24"/>
      <c r="H88" s="24"/>
      <c r="I88" s="24"/>
      <c r="J88" s="24"/>
      <c r="L88" s="11">
        <v>4</v>
      </c>
      <c r="M88" s="12" t="s">
        <v>240</v>
      </c>
      <c r="N88" s="77" t="str">
        <f>_xlfn.DISPIMG("ID_71E83DBAD64D416DB414F92662099F9A",1)</f>
        <v>=DISPIMG("ID_71E83DBAD64D416DB414F92662099F9A",1)</v>
      </c>
      <c r="O88" s="12" t="s">
        <v>241</v>
      </c>
      <c r="P88" s="37" t="s">
        <v>242</v>
      </c>
      <c r="Q88" s="11">
        <v>1</v>
      </c>
      <c r="R88" s="12" t="s">
        <v>16</v>
      </c>
      <c r="S88" s="11">
        <v>4500</v>
      </c>
      <c r="T88" s="11">
        <v>4500</v>
      </c>
      <c r="U88" s="75"/>
    </row>
    <row r="89" spans="1:21" ht="100.05" customHeight="1" x14ac:dyDescent="0.25">
      <c r="A89" s="24"/>
      <c r="B89" s="24"/>
      <c r="C89" s="24"/>
      <c r="D89" s="24"/>
      <c r="E89" s="24"/>
      <c r="F89" s="24"/>
      <c r="G89" s="24"/>
      <c r="H89" s="24"/>
      <c r="I89" s="24"/>
      <c r="J89" s="24"/>
      <c r="L89" s="11">
        <v>5</v>
      </c>
      <c r="M89" s="12" t="s">
        <v>243</v>
      </c>
      <c r="N89" s="77"/>
      <c r="O89" s="12" t="s">
        <v>21</v>
      </c>
      <c r="P89" s="81" t="s">
        <v>244</v>
      </c>
      <c r="Q89" s="11">
        <v>1</v>
      </c>
      <c r="R89" s="12" t="s">
        <v>16</v>
      </c>
      <c r="S89" s="11">
        <v>1150</v>
      </c>
      <c r="T89" s="11">
        <v>1150</v>
      </c>
      <c r="U89" s="75"/>
    </row>
    <row r="90" spans="1:21" ht="100.05" customHeight="1" x14ac:dyDescent="0.25">
      <c r="A90" s="24"/>
      <c r="B90" s="24"/>
      <c r="C90" s="24"/>
      <c r="D90" s="24"/>
      <c r="E90" s="24"/>
      <c r="F90" s="24"/>
      <c r="G90" s="24"/>
      <c r="H90" s="24"/>
      <c r="I90" s="24"/>
      <c r="J90" s="24"/>
      <c r="L90" s="11">
        <v>6</v>
      </c>
      <c r="M90" s="12" t="s">
        <v>245</v>
      </c>
      <c r="N90" s="77"/>
      <c r="O90" s="12" t="s">
        <v>21</v>
      </c>
      <c r="P90" s="82"/>
      <c r="Q90" s="11">
        <v>4</v>
      </c>
      <c r="R90" s="12" t="s">
        <v>16</v>
      </c>
      <c r="S90" s="11">
        <v>950</v>
      </c>
      <c r="T90" s="11">
        <v>3800</v>
      </c>
      <c r="U90" s="75"/>
    </row>
    <row r="91" spans="1:21" ht="100.05" customHeight="1" x14ac:dyDescent="0.25">
      <c r="A91" s="24"/>
      <c r="B91" s="24"/>
      <c r="C91" s="24"/>
      <c r="D91" s="24"/>
      <c r="E91" s="24"/>
      <c r="F91" s="24"/>
      <c r="G91" s="24"/>
      <c r="H91" s="24"/>
      <c r="I91" s="24"/>
      <c r="J91" s="24"/>
      <c r="L91" s="11">
        <v>1</v>
      </c>
      <c r="M91" s="12" t="s">
        <v>246</v>
      </c>
      <c r="N91" s="13" t="str">
        <f>_xlfn.DISPIMG("ID_9D2912C81F674DCA9F5286F4D4867ED1",1)</f>
        <v>=DISPIMG("ID_9D2912C81F674DCA9F5286F4D4867ED1",1)</v>
      </c>
      <c r="O91" s="12" t="s">
        <v>247</v>
      </c>
      <c r="P91" s="37" t="s">
        <v>248</v>
      </c>
      <c r="Q91" s="11">
        <v>8</v>
      </c>
      <c r="R91" s="12" t="s">
        <v>16</v>
      </c>
      <c r="S91" s="11">
        <v>1680</v>
      </c>
      <c r="T91" s="11">
        <v>13440</v>
      </c>
      <c r="U91" s="75" t="s">
        <v>249</v>
      </c>
    </row>
    <row r="92" spans="1:21" ht="100.05" customHeight="1" x14ac:dyDescent="0.25">
      <c r="A92" s="24"/>
      <c r="B92" s="24"/>
      <c r="C92" s="24"/>
      <c r="D92" s="24"/>
      <c r="E92" s="24"/>
      <c r="F92" s="24"/>
      <c r="G92" s="24"/>
      <c r="H92" s="24"/>
      <c r="I92" s="24"/>
      <c r="J92" s="24"/>
      <c r="L92" s="11">
        <v>2</v>
      </c>
      <c r="M92" s="12" t="s">
        <v>250</v>
      </c>
      <c r="N92" s="13" t="str">
        <f>_xlfn.DISPIMG("ID_40B4C62FE5244EB384F44C28F60642E3",1)</f>
        <v>=DISPIMG("ID_40B4C62FE5244EB384F44C28F60642E3",1)</v>
      </c>
      <c r="O92" s="12" t="s">
        <v>251</v>
      </c>
      <c r="P92" s="37" t="s">
        <v>19</v>
      </c>
      <c r="Q92" s="11">
        <v>5</v>
      </c>
      <c r="R92" s="12" t="s">
        <v>16</v>
      </c>
      <c r="S92" s="11">
        <v>650</v>
      </c>
      <c r="T92" s="11">
        <v>3250</v>
      </c>
      <c r="U92" s="75"/>
    </row>
    <row r="93" spans="1:21" ht="19.95" customHeight="1" x14ac:dyDescent="0.25">
      <c r="A93" s="86" t="s">
        <v>252</v>
      </c>
      <c r="B93" s="84"/>
      <c r="C93" s="84"/>
      <c r="D93" s="84"/>
      <c r="E93" s="84"/>
      <c r="F93" s="84"/>
      <c r="G93" s="84"/>
      <c r="H93" s="84"/>
      <c r="I93" s="84"/>
      <c r="J93" s="84"/>
      <c r="K93" s="10"/>
      <c r="L93" s="83" t="s">
        <v>252</v>
      </c>
      <c r="M93" s="84"/>
      <c r="N93" s="84"/>
      <c r="O93" s="84"/>
      <c r="P93" s="84"/>
      <c r="Q93" s="84" t="s">
        <v>100</v>
      </c>
      <c r="R93" s="84"/>
      <c r="S93" s="84"/>
      <c r="T93" s="84"/>
      <c r="U93" s="84"/>
    </row>
    <row r="94" spans="1:21" ht="100.05" customHeight="1" x14ac:dyDescent="0.25">
      <c r="A94" s="11">
        <v>1</v>
      </c>
      <c r="B94" s="12" t="s">
        <v>253</v>
      </c>
      <c r="C94" s="12" t="s">
        <v>254</v>
      </c>
      <c r="D94" s="13" t="str">
        <f>_xlfn.DISPIMG("ID_251D7462A81547FB8C85F8F3CDE32BA8",1)</f>
        <v>=DISPIMG("ID_251D7462A81547FB8C85F8F3CDE32BA8",1)</v>
      </c>
      <c r="E94" s="37" t="s">
        <v>255</v>
      </c>
      <c r="F94" s="11">
        <v>2</v>
      </c>
      <c r="G94" s="12" t="s">
        <v>16</v>
      </c>
      <c r="H94" s="11">
        <v>5049</v>
      </c>
      <c r="I94" s="11">
        <v>10098</v>
      </c>
      <c r="J94" s="12" t="s">
        <v>256</v>
      </c>
      <c r="K94" s="27"/>
      <c r="L94" s="11">
        <v>1</v>
      </c>
      <c r="M94" s="12" t="s">
        <v>257</v>
      </c>
      <c r="N94" s="13" t="str">
        <f>_xlfn.DISPIMG("ID_88E0BF13EB1B42509C64F8D30D3956BE",1)</f>
        <v>=DISPIMG("ID_88E0BF13EB1B42509C64F8D30D3956BE",1)</v>
      </c>
      <c r="O94" s="12" t="s">
        <v>258</v>
      </c>
      <c r="P94" s="37" t="s">
        <v>259</v>
      </c>
      <c r="Q94" s="11">
        <v>1</v>
      </c>
      <c r="R94" s="12" t="s">
        <v>70</v>
      </c>
      <c r="S94" s="11">
        <v>17000</v>
      </c>
      <c r="T94" s="11">
        <v>17000</v>
      </c>
      <c r="U94" s="24"/>
    </row>
    <row r="95" spans="1:21" ht="100.05" customHeight="1" x14ac:dyDescent="0.25">
      <c r="A95" s="11">
        <v>2</v>
      </c>
      <c r="B95" s="12" t="s">
        <v>260</v>
      </c>
      <c r="C95" s="12" t="s">
        <v>21</v>
      </c>
      <c r="D95" s="13" t="str">
        <f>_xlfn.DISPIMG("ID_F3C31F9317BD4DCF99E88AB6F00FCAB7",1)</f>
        <v>=DISPIMG("ID_F3C31F9317BD4DCF99E88AB6F00FCAB7",1)</v>
      </c>
      <c r="E95" s="37" t="s">
        <v>261</v>
      </c>
      <c r="F95" s="11">
        <v>14</v>
      </c>
      <c r="G95" s="12" t="s">
        <v>16</v>
      </c>
      <c r="H95" s="11">
        <v>480</v>
      </c>
      <c r="I95" s="11">
        <v>6720</v>
      </c>
      <c r="J95" s="12" t="s">
        <v>256</v>
      </c>
      <c r="K95" s="27"/>
      <c r="L95" s="11">
        <v>2</v>
      </c>
      <c r="M95" s="12" t="s">
        <v>262</v>
      </c>
      <c r="N95" s="13" t="str">
        <f>_xlfn.DISPIMG("ID_591C615A8C554FDDA478939FE679520D",1)</f>
        <v>=DISPIMG("ID_591C615A8C554FDDA478939FE679520D",1)</v>
      </c>
      <c r="O95" s="12" t="s">
        <v>263</v>
      </c>
      <c r="P95" s="37" t="s">
        <v>36</v>
      </c>
      <c r="Q95" s="11">
        <v>2</v>
      </c>
      <c r="R95" s="12" t="s">
        <v>16</v>
      </c>
      <c r="S95" s="11">
        <v>1800</v>
      </c>
      <c r="T95" s="11">
        <v>3600</v>
      </c>
      <c r="U95" s="24"/>
    </row>
    <row r="96" spans="1:21" ht="100.05" customHeight="1" x14ac:dyDescent="0.25">
      <c r="A96" s="11">
        <v>3</v>
      </c>
      <c r="B96" s="12" t="s">
        <v>264</v>
      </c>
      <c r="C96" s="12" t="s">
        <v>265</v>
      </c>
      <c r="D96" s="13" t="str">
        <f>_xlfn.DISPIMG("ID_B4356DFA361343929182C190331BB41B",1)</f>
        <v>=DISPIMG("ID_B4356DFA361343929182C190331BB41B",1)</v>
      </c>
      <c r="E96" s="37" t="s">
        <v>266</v>
      </c>
      <c r="F96" s="11">
        <v>4</v>
      </c>
      <c r="G96" s="12" t="s">
        <v>16</v>
      </c>
      <c r="H96" s="11">
        <v>717</v>
      </c>
      <c r="I96" s="11">
        <v>2868</v>
      </c>
      <c r="J96" s="12" t="s">
        <v>256</v>
      </c>
      <c r="K96" s="27"/>
      <c r="L96" s="11">
        <v>3</v>
      </c>
      <c r="M96" s="12" t="s">
        <v>267</v>
      </c>
      <c r="N96" s="13" t="str">
        <f>_xlfn.DISPIMG("ID_142E69334750474DB02C9987B75CCBAE",1)</f>
        <v>=DISPIMG("ID_142E69334750474DB02C9987B75CCBAE",1)</v>
      </c>
      <c r="O96" s="12" t="s">
        <v>268</v>
      </c>
      <c r="P96" s="37" t="s">
        <v>269</v>
      </c>
      <c r="Q96" s="11">
        <v>2</v>
      </c>
      <c r="R96" s="12" t="s">
        <v>16</v>
      </c>
      <c r="S96" s="11">
        <v>1950</v>
      </c>
      <c r="T96" s="11">
        <v>3900</v>
      </c>
      <c r="U96" s="24"/>
    </row>
    <row r="97" spans="1:21" ht="100.05" customHeight="1" x14ac:dyDescent="0.25">
      <c r="A97" s="11">
        <v>4</v>
      </c>
      <c r="B97" s="12" t="s">
        <v>270</v>
      </c>
      <c r="C97" s="12" t="s">
        <v>271</v>
      </c>
      <c r="D97" s="13" t="str">
        <f>_xlfn.DISPIMG("ID_B49AC095CCF945C0ABF2DCE986C5AB60",1)</f>
        <v>=DISPIMG("ID_B49AC095CCF945C0ABF2DCE986C5AB60",1)</v>
      </c>
      <c r="E97" s="37" t="s">
        <v>272</v>
      </c>
      <c r="F97" s="11">
        <v>4</v>
      </c>
      <c r="G97" s="12" t="s">
        <v>16</v>
      </c>
      <c r="H97" s="11">
        <v>795</v>
      </c>
      <c r="I97" s="11">
        <v>3180</v>
      </c>
      <c r="J97" s="12" t="s">
        <v>256</v>
      </c>
      <c r="K97" s="27"/>
      <c r="L97" s="11">
        <v>4</v>
      </c>
      <c r="M97" s="12" t="s">
        <v>273</v>
      </c>
      <c r="N97" s="13" t="str">
        <f>_xlfn.DISPIMG("ID_51BE05DFDCD64E98BDD65A19319BA907",1)</f>
        <v>=DISPIMG("ID_51BE05DFDCD64E98BDD65A19319BA907",1)</v>
      </c>
      <c r="O97" s="12" t="s">
        <v>21</v>
      </c>
      <c r="P97" s="37" t="s">
        <v>41</v>
      </c>
      <c r="Q97" s="11">
        <v>16</v>
      </c>
      <c r="R97" s="12" t="s">
        <v>16</v>
      </c>
      <c r="S97" s="11">
        <v>780</v>
      </c>
      <c r="T97" s="11">
        <v>12480</v>
      </c>
      <c r="U97" s="24"/>
    </row>
    <row r="98" spans="1:21" ht="100.05" customHeight="1" x14ac:dyDescent="0.25">
      <c r="A98" s="11">
        <v>5</v>
      </c>
      <c r="B98" s="12" t="s">
        <v>273</v>
      </c>
      <c r="C98" s="12" t="s">
        <v>21</v>
      </c>
      <c r="D98" s="13" t="str">
        <f>_xlfn.DISPIMG("ID_EDC6F014BB1046C691E03F9500A5391E",1)</f>
        <v>=DISPIMG("ID_EDC6F014BB1046C691E03F9500A5391E",1)</v>
      </c>
      <c r="E98" s="37" t="s">
        <v>274</v>
      </c>
      <c r="F98" s="11">
        <v>16</v>
      </c>
      <c r="G98" s="12" t="s">
        <v>16</v>
      </c>
      <c r="H98" s="11">
        <v>148</v>
      </c>
      <c r="I98" s="11">
        <v>2368</v>
      </c>
      <c r="J98" s="12" t="s">
        <v>256</v>
      </c>
      <c r="K98" s="27"/>
      <c r="L98" s="11">
        <v>5</v>
      </c>
      <c r="M98" s="12" t="s">
        <v>275</v>
      </c>
      <c r="N98" s="13" t="str">
        <f>_xlfn.DISPIMG("ID_57A5BDF33CFF41A8A4DE7B102D8F946D",1)</f>
        <v>=DISPIMG("ID_57A5BDF33CFF41A8A4DE7B102D8F946D",1)</v>
      </c>
      <c r="O98" s="12" t="s">
        <v>276</v>
      </c>
      <c r="P98" s="37" t="s">
        <v>36</v>
      </c>
      <c r="Q98" s="11">
        <v>1</v>
      </c>
      <c r="R98" s="12" t="s">
        <v>70</v>
      </c>
      <c r="S98" s="11">
        <v>6200</v>
      </c>
      <c r="T98" s="11">
        <v>6200</v>
      </c>
      <c r="U98" s="24"/>
    </row>
    <row r="99" spans="1:21" ht="100.05" customHeight="1" x14ac:dyDescent="0.25">
      <c r="A99" s="11">
        <v>6</v>
      </c>
      <c r="B99" s="12" t="s">
        <v>42</v>
      </c>
      <c r="C99" s="12" t="s">
        <v>107</v>
      </c>
      <c r="D99" s="13" t="str">
        <f>_xlfn.DISPIMG("ID_D7CCCE04CCB64EF5B1B3B77879E7D831",1)</f>
        <v>=DISPIMG("ID_D7CCCE04CCB64EF5B1B3B77879E7D831",1)</v>
      </c>
      <c r="E99" s="85" t="s">
        <v>277</v>
      </c>
      <c r="F99" s="11">
        <v>4</v>
      </c>
      <c r="G99" s="12" t="s">
        <v>16</v>
      </c>
      <c r="H99" s="11">
        <v>3260</v>
      </c>
      <c r="I99" s="11">
        <v>13040</v>
      </c>
      <c r="J99" s="12" t="s">
        <v>278</v>
      </c>
      <c r="K99" s="27"/>
      <c r="L99" s="11">
        <v>6</v>
      </c>
      <c r="M99" s="12" t="s">
        <v>279</v>
      </c>
      <c r="N99" s="13" t="str">
        <f>_xlfn.DISPIMG("ID_501BA3623F7143569D077BEB05A0601E",1)</f>
        <v>=DISPIMG("ID_501BA3623F7143569D077BEB05A0601E",1)</v>
      </c>
      <c r="O99" s="12" t="s">
        <v>21</v>
      </c>
      <c r="P99" s="12" t="s">
        <v>280</v>
      </c>
      <c r="Q99" s="11">
        <v>7</v>
      </c>
      <c r="R99" s="12" t="s">
        <v>16</v>
      </c>
      <c r="S99" s="11">
        <v>450</v>
      </c>
      <c r="T99" s="11">
        <v>3150</v>
      </c>
      <c r="U99" s="24"/>
    </row>
    <row r="100" spans="1:21" ht="100.05" customHeight="1" x14ac:dyDescent="0.25">
      <c r="A100" s="11">
        <v>7</v>
      </c>
      <c r="B100" s="12" t="s">
        <v>42</v>
      </c>
      <c r="C100" s="12" t="s">
        <v>281</v>
      </c>
      <c r="D100" s="13" t="str">
        <f>_xlfn.DISPIMG("ID_06FEB9CC96A244BB91FCFFA3E3EA1F67",1)</f>
        <v>=DISPIMG("ID_06FEB9CC96A244BB91FCFFA3E3EA1F67",1)</v>
      </c>
      <c r="E100" s="85"/>
      <c r="F100" s="11">
        <v>8</v>
      </c>
      <c r="G100" s="12" t="s">
        <v>16</v>
      </c>
      <c r="H100" s="11">
        <v>1793</v>
      </c>
      <c r="I100" s="11">
        <v>14344</v>
      </c>
      <c r="J100" s="12" t="s">
        <v>278</v>
      </c>
      <c r="K100" s="27"/>
      <c r="L100" s="11">
        <v>1</v>
      </c>
      <c r="M100" s="12" t="s">
        <v>113</v>
      </c>
      <c r="N100" s="77" t="str">
        <f>_xlfn.DISPIMG("ID_A829C8B40C964F99A3FBCA1F40B0D814",1)</f>
        <v>=DISPIMG("ID_A829C8B40C964F99A3FBCA1F40B0D814",1)</v>
      </c>
      <c r="O100" s="12" t="s">
        <v>46</v>
      </c>
      <c r="P100" s="79" t="s">
        <v>248</v>
      </c>
      <c r="Q100" s="11">
        <v>1</v>
      </c>
      <c r="R100" s="12" t="s">
        <v>16</v>
      </c>
      <c r="S100" s="11">
        <v>2500</v>
      </c>
      <c r="T100" s="11">
        <v>2500</v>
      </c>
      <c r="U100" s="75" t="s">
        <v>282</v>
      </c>
    </row>
    <row r="101" spans="1:21" ht="100.05" customHeight="1" x14ac:dyDescent="0.25">
      <c r="A101" s="11">
        <v>8</v>
      </c>
      <c r="B101" s="12" t="s">
        <v>54</v>
      </c>
      <c r="C101" s="12" t="s">
        <v>142</v>
      </c>
      <c r="D101" s="13" t="str">
        <f>_xlfn.DISPIMG("ID_45165D7339C24B2ABD4D0AC02E2B1DB0",1)</f>
        <v>=DISPIMG("ID_45165D7339C24B2ABD4D0AC02E2B1DB0",1)</v>
      </c>
      <c r="E101" s="37" t="s">
        <v>283</v>
      </c>
      <c r="F101" s="11">
        <v>4</v>
      </c>
      <c r="G101" s="12" t="s">
        <v>16</v>
      </c>
      <c r="H101" s="11">
        <v>926</v>
      </c>
      <c r="I101" s="11">
        <v>3704</v>
      </c>
      <c r="J101" s="12" t="s">
        <v>278</v>
      </c>
      <c r="K101" s="27"/>
      <c r="L101" s="11">
        <v>2</v>
      </c>
      <c r="M101" s="12" t="s">
        <v>49</v>
      </c>
      <c r="N101" s="77"/>
      <c r="O101" s="12" t="s">
        <v>284</v>
      </c>
      <c r="P101" s="80"/>
      <c r="Q101" s="11">
        <v>4</v>
      </c>
      <c r="R101" s="12" t="s">
        <v>16</v>
      </c>
      <c r="S101" s="11">
        <v>2000</v>
      </c>
      <c r="T101" s="11">
        <v>8000</v>
      </c>
      <c r="U101" s="75"/>
    </row>
    <row r="102" spans="1:21" ht="100.05" customHeight="1" x14ac:dyDescent="0.25">
      <c r="A102" s="11">
        <v>9</v>
      </c>
      <c r="B102" s="12" t="s">
        <v>285</v>
      </c>
      <c r="C102" s="12" t="s">
        <v>286</v>
      </c>
      <c r="D102" s="13" t="str">
        <f>_xlfn.DISPIMG("ID_69BEDB49A42B471FB9A9A1C7C6B097BD",1)</f>
        <v>=DISPIMG("ID_69BEDB49A42B471FB9A9A1C7C6B097BD",1)</v>
      </c>
      <c r="E102" s="37" t="s">
        <v>287</v>
      </c>
      <c r="F102" s="11">
        <v>1</v>
      </c>
      <c r="G102" s="12" t="s">
        <v>16</v>
      </c>
      <c r="H102" s="11">
        <v>10835</v>
      </c>
      <c r="I102" s="11">
        <v>10835</v>
      </c>
      <c r="J102" s="13"/>
      <c r="K102" s="15"/>
      <c r="L102" s="11">
        <v>3</v>
      </c>
      <c r="M102" s="12" t="s">
        <v>288</v>
      </c>
      <c r="N102" s="77"/>
      <c r="O102" s="12" t="s">
        <v>21</v>
      </c>
      <c r="P102" s="80"/>
      <c r="Q102" s="11">
        <v>10</v>
      </c>
      <c r="R102" s="12" t="s">
        <v>16</v>
      </c>
      <c r="S102" s="11">
        <v>1200</v>
      </c>
      <c r="T102" s="11">
        <v>12000</v>
      </c>
      <c r="U102" s="75"/>
    </row>
    <row r="103" spans="1:21" ht="100.05" customHeight="1" x14ac:dyDescent="0.25">
      <c r="A103" s="11">
        <v>10</v>
      </c>
      <c r="B103" s="12" t="s">
        <v>273</v>
      </c>
      <c r="C103" s="12" t="s">
        <v>289</v>
      </c>
      <c r="D103" s="13" t="str">
        <f>_xlfn.DISPIMG("ID_F4BCF1DC25D64E96B0B45C071F6DAA65",1)</f>
        <v>=DISPIMG("ID_F4BCF1DC25D64E96B0B45C071F6DAA65",1)</v>
      </c>
      <c r="E103" s="37" t="s">
        <v>290</v>
      </c>
      <c r="F103" s="11">
        <v>2</v>
      </c>
      <c r="G103" s="12" t="s">
        <v>16</v>
      </c>
      <c r="H103" s="11">
        <v>2790</v>
      </c>
      <c r="I103" s="11">
        <v>5580</v>
      </c>
      <c r="J103" s="13"/>
      <c r="K103" s="15"/>
      <c r="L103" s="11">
        <v>4</v>
      </c>
      <c r="M103" s="12" t="s">
        <v>291</v>
      </c>
      <c r="N103" s="77" t="str">
        <f>_xlfn.DISPIMG("ID_E4C367CE0EAF46FB946FF90EA7FD7310",1)</f>
        <v>=DISPIMG("ID_E4C367CE0EAF46FB946FF90EA7FD7310",1)</v>
      </c>
      <c r="O103" s="12" t="s">
        <v>292</v>
      </c>
      <c r="P103" s="79" t="s">
        <v>19</v>
      </c>
      <c r="Q103" s="11">
        <v>5</v>
      </c>
      <c r="R103" s="12" t="s">
        <v>16</v>
      </c>
      <c r="S103" s="11">
        <v>1410</v>
      </c>
      <c r="T103" s="11">
        <v>7050</v>
      </c>
      <c r="U103" s="75"/>
    </row>
    <row r="104" spans="1:21" ht="100.05" customHeight="1" x14ac:dyDescent="0.25">
      <c r="A104" s="11">
        <v>11</v>
      </c>
      <c r="B104" s="12" t="s">
        <v>293</v>
      </c>
      <c r="C104" s="12" t="s">
        <v>294</v>
      </c>
      <c r="D104" s="13" t="str">
        <f>_xlfn.DISPIMG("ID_5CF207C817644052812035A97E80030C",1)</f>
        <v>=DISPIMG("ID_5CF207C817644052812035A97E80030C",1)</v>
      </c>
      <c r="E104" s="37" t="s">
        <v>295</v>
      </c>
      <c r="F104" s="11">
        <v>1</v>
      </c>
      <c r="G104" s="12" t="s">
        <v>156</v>
      </c>
      <c r="H104" s="11">
        <v>2995</v>
      </c>
      <c r="I104" s="11">
        <v>2995</v>
      </c>
      <c r="J104" s="13"/>
      <c r="K104" s="15"/>
      <c r="L104" s="11">
        <v>5</v>
      </c>
      <c r="M104" s="12" t="s">
        <v>296</v>
      </c>
      <c r="N104" s="77"/>
      <c r="O104" s="12" t="s">
        <v>297</v>
      </c>
      <c r="P104" s="80"/>
      <c r="Q104" s="11">
        <v>2</v>
      </c>
      <c r="R104" s="12" t="s">
        <v>16</v>
      </c>
      <c r="S104" s="11">
        <v>880</v>
      </c>
      <c r="T104" s="11">
        <v>1760</v>
      </c>
      <c r="U104" s="75"/>
    </row>
    <row r="105" spans="1:21" ht="100.05" customHeight="1" x14ac:dyDescent="0.25">
      <c r="A105" s="11">
        <v>12</v>
      </c>
      <c r="B105" s="12" t="s">
        <v>273</v>
      </c>
      <c r="C105" s="12" t="s">
        <v>298</v>
      </c>
      <c r="D105" s="13" t="str">
        <f>_xlfn.DISPIMG("ID_7DF4CD146A2F4A85A3ACC3DF2542BD3A",1)</f>
        <v>=DISPIMG("ID_7DF4CD146A2F4A85A3ACC3DF2542BD3A",1)</v>
      </c>
      <c r="E105" s="37" t="s">
        <v>299</v>
      </c>
      <c r="F105" s="11">
        <v>3</v>
      </c>
      <c r="G105" s="12" t="s">
        <v>16</v>
      </c>
      <c r="H105" s="11">
        <v>535</v>
      </c>
      <c r="I105" s="11">
        <v>1605</v>
      </c>
      <c r="J105" s="13"/>
      <c r="K105" s="15"/>
      <c r="L105" s="11">
        <v>1</v>
      </c>
      <c r="M105" s="12" t="s">
        <v>267</v>
      </c>
      <c r="N105" s="13" t="str">
        <f>_xlfn.DISPIMG("ID_EC48D5B18857423E80F7FCAB5476BFD6",1)</f>
        <v>=DISPIMG("ID_EC48D5B18857423E80F7FCAB5476BFD6",1)</v>
      </c>
      <c r="O105" s="12" t="s">
        <v>268</v>
      </c>
      <c r="P105" s="37" t="s">
        <v>19</v>
      </c>
      <c r="Q105" s="11">
        <v>3</v>
      </c>
      <c r="R105" s="12" t="s">
        <v>16</v>
      </c>
      <c r="S105" s="11">
        <v>850</v>
      </c>
      <c r="T105" s="11">
        <v>2550</v>
      </c>
      <c r="U105" s="75" t="s">
        <v>300</v>
      </c>
    </row>
    <row r="106" spans="1:21" ht="100.05" customHeight="1" x14ac:dyDescent="0.25">
      <c r="A106" s="11">
        <v>13</v>
      </c>
      <c r="B106" s="12" t="s">
        <v>174</v>
      </c>
      <c r="C106" s="12" t="s">
        <v>265</v>
      </c>
      <c r="D106" s="13" t="str">
        <f>_xlfn.DISPIMG("ID_F68810C176C74A6D8AA5F5BDCDB43C28",1)</f>
        <v>=DISPIMG("ID_F68810C176C74A6D8AA5F5BDCDB43C28",1)</v>
      </c>
      <c r="E106" s="37" t="s">
        <v>266</v>
      </c>
      <c r="F106" s="11">
        <v>3</v>
      </c>
      <c r="G106" s="12" t="s">
        <v>16</v>
      </c>
      <c r="H106" s="11">
        <v>717</v>
      </c>
      <c r="I106" s="11">
        <v>2151</v>
      </c>
      <c r="J106" s="13"/>
      <c r="K106" s="15"/>
      <c r="L106" s="11">
        <v>2</v>
      </c>
      <c r="M106" s="12" t="s">
        <v>273</v>
      </c>
      <c r="N106" s="13" t="str">
        <f>_xlfn.DISPIMG("ID_0EE4431A16E94AE7B6EE774B18213F5C",1)</f>
        <v>=DISPIMG("ID_0EE4431A16E94AE7B6EE774B18213F5C",1)</v>
      </c>
      <c r="O106" s="12" t="s">
        <v>21</v>
      </c>
      <c r="P106" s="37" t="s">
        <v>248</v>
      </c>
      <c r="Q106" s="11">
        <v>9</v>
      </c>
      <c r="R106" s="12" t="s">
        <v>16</v>
      </c>
      <c r="S106" s="11">
        <v>980</v>
      </c>
      <c r="T106" s="11">
        <v>8820</v>
      </c>
      <c r="U106" s="75"/>
    </row>
    <row r="107" spans="1:21" ht="19.95" customHeight="1" x14ac:dyDescent="0.25">
      <c r="A107" s="86" t="s">
        <v>301</v>
      </c>
      <c r="B107" s="84"/>
      <c r="C107" s="84"/>
      <c r="D107" s="84"/>
      <c r="E107" s="84"/>
      <c r="F107" s="84"/>
      <c r="G107" s="84"/>
      <c r="H107" s="84"/>
      <c r="I107" s="84"/>
      <c r="J107" s="84"/>
      <c r="K107" s="10"/>
      <c r="L107" s="83" t="s">
        <v>301</v>
      </c>
      <c r="M107" s="84"/>
      <c r="N107" s="84"/>
      <c r="O107" s="84"/>
      <c r="P107" s="84"/>
      <c r="Q107" s="84" t="s">
        <v>100</v>
      </c>
      <c r="R107" s="84"/>
      <c r="S107" s="84"/>
      <c r="T107" s="84"/>
      <c r="U107" s="84"/>
    </row>
    <row r="108" spans="1:21" ht="100.05" customHeight="1" x14ac:dyDescent="0.25">
      <c r="A108" s="11">
        <v>1</v>
      </c>
      <c r="B108" s="12" t="s">
        <v>302</v>
      </c>
      <c r="C108" s="12" t="s">
        <v>303</v>
      </c>
      <c r="D108" s="77" t="str">
        <f>_xlfn.DISPIMG("ID_B35EF19424124C578A502BC49DD9262D",1)</f>
        <v>=DISPIMG("ID_B35EF19424124C578A502BC49DD9262D",1)</v>
      </c>
      <c r="E108" s="37" t="s">
        <v>304</v>
      </c>
      <c r="F108" s="11">
        <v>6</v>
      </c>
      <c r="G108" s="12" t="s">
        <v>16</v>
      </c>
      <c r="H108" s="11">
        <v>1085</v>
      </c>
      <c r="I108" s="11">
        <v>6510</v>
      </c>
      <c r="J108" s="24"/>
      <c r="L108" s="11">
        <v>1</v>
      </c>
      <c r="M108" s="12" t="s">
        <v>305</v>
      </c>
      <c r="N108" s="13" t="str">
        <f>_xlfn.DISPIMG("ID_CCFDFF1F18074D30906C5721965E5388",1)</f>
        <v>=DISPIMG("ID_CCFDFF1F18074D30906C5721965E5388",1)</v>
      </c>
      <c r="O108" s="12" t="s">
        <v>306</v>
      </c>
      <c r="P108" s="12" t="s">
        <v>307</v>
      </c>
      <c r="Q108" s="11">
        <v>6</v>
      </c>
      <c r="R108" s="12" t="s">
        <v>156</v>
      </c>
      <c r="S108" s="11">
        <v>2100</v>
      </c>
      <c r="T108" s="11">
        <v>12600</v>
      </c>
      <c r="U108" s="24"/>
    </row>
    <row r="109" spans="1:21" ht="100.05" customHeight="1" x14ac:dyDescent="0.25">
      <c r="A109" s="11">
        <v>2</v>
      </c>
      <c r="B109" s="12" t="s">
        <v>33</v>
      </c>
      <c r="C109" s="12" t="s">
        <v>21</v>
      </c>
      <c r="D109" s="77"/>
      <c r="E109" s="37" t="s">
        <v>308</v>
      </c>
      <c r="F109" s="11">
        <v>18</v>
      </c>
      <c r="G109" s="12" t="s">
        <v>16</v>
      </c>
      <c r="H109" s="11">
        <v>479</v>
      </c>
      <c r="I109" s="11">
        <v>8622</v>
      </c>
      <c r="J109" s="24"/>
      <c r="L109" s="11">
        <v>2</v>
      </c>
      <c r="M109" s="12" t="s">
        <v>309</v>
      </c>
      <c r="N109" s="13" t="str">
        <f>_xlfn.DISPIMG("ID_C92DC1B6D2FF4EC9B40DE6F2B37D023F",1)</f>
        <v>=DISPIMG("ID_C92DC1B6D2FF4EC9B40DE6F2B37D023F",1)</v>
      </c>
      <c r="O109" s="12" t="s">
        <v>310</v>
      </c>
      <c r="P109" s="12" t="s">
        <v>311</v>
      </c>
      <c r="Q109" s="11">
        <v>2</v>
      </c>
      <c r="R109" s="12" t="s">
        <v>70</v>
      </c>
      <c r="S109" s="11">
        <v>1400</v>
      </c>
      <c r="T109" s="11">
        <v>2800</v>
      </c>
      <c r="U109" s="24"/>
    </row>
  </sheetData>
  <mergeCells count="65">
    <mergeCell ref="A1:J1"/>
    <mergeCell ref="L1:U1"/>
    <mergeCell ref="A3:J3"/>
    <mergeCell ref="L3:U3"/>
    <mergeCell ref="A19:J19"/>
    <mergeCell ref="L19:U19"/>
    <mergeCell ref="N83:N85"/>
    <mergeCell ref="N88:N90"/>
    <mergeCell ref="U91:U92"/>
    <mergeCell ref="A36:J36"/>
    <mergeCell ref="L36:U36"/>
    <mergeCell ref="A47:J47"/>
    <mergeCell ref="L47:U47"/>
    <mergeCell ref="A58:J58"/>
    <mergeCell ref="L58:U58"/>
    <mergeCell ref="N45:N46"/>
    <mergeCell ref="N52:N56"/>
    <mergeCell ref="L107:U107"/>
    <mergeCell ref="D7:D8"/>
    <mergeCell ref="D10:D11"/>
    <mergeCell ref="D23:D24"/>
    <mergeCell ref="D31:D33"/>
    <mergeCell ref="D40:D41"/>
    <mergeCell ref="D48:D49"/>
    <mergeCell ref="L52:L56"/>
    <mergeCell ref="L70:L71"/>
    <mergeCell ref="L83:L85"/>
    <mergeCell ref="M52:M56"/>
    <mergeCell ref="M70:M71"/>
    <mergeCell ref="N10:N12"/>
    <mergeCell ref="N26:N28"/>
    <mergeCell ref="N42:N44"/>
    <mergeCell ref="A67:J67"/>
    <mergeCell ref="D108:D109"/>
    <mergeCell ref="E10:E11"/>
    <mergeCell ref="E23:E24"/>
    <mergeCell ref="E40:E41"/>
    <mergeCell ref="E48:E49"/>
    <mergeCell ref="E99:E100"/>
    <mergeCell ref="A107:J107"/>
    <mergeCell ref="A82:J82"/>
    <mergeCell ref="A93:J93"/>
    <mergeCell ref="N100:N102"/>
    <mergeCell ref="N103:N104"/>
    <mergeCell ref="O52:O56"/>
    <mergeCell ref="P10:P12"/>
    <mergeCell ref="P26:P28"/>
    <mergeCell ref="P42:P44"/>
    <mergeCell ref="P45:P46"/>
    <mergeCell ref="P70:P71"/>
    <mergeCell ref="P83:P85"/>
    <mergeCell ref="P89:P90"/>
    <mergeCell ref="P100:P102"/>
    <mergeCell ref="P103:P104"/>
    <mergeCell ref="L67:U67"/>
    <mergeCell ref="L82:U82"/>
    <mergeCell ref="L93:U93"/>
    <mergeCell ref="N70:N71"/>
    <mergeCell ref="U100:U104"/>
    <mergeCell ref="U105:U106"/>
    <mergeCell ref="U62:U63"/>
    <mergeCell ref="U68:U73"/>
    <mergeCell ref="U74:U75"/>
    <mergeCell ref="U76:U77"/>
    <mergeCell ref="U83:U90"/>
  </mergeCells>
  <phoneticPr fontId="1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4"/>
  <sheetViews>
    <sheetView tabSelected="1" view="pageBreakPreview" topLeftCell="B1" zoomScale="80" zoomScaleNormal="100" zoomScaleSheetLayoutView="80" workbookViewId="0">
      <pane ySplit="2" topLeftCell="A3" activePane="bottomLeft" state="frozen"/>
      <selection pane="bottomLeft" activeCell="B91" sqref="A91:XFD100"/>
    </sheetView>
  </sheetViews>
  <sheetFormatPr defaultColWidth="15.6640625" defaultRowHeight="30" customHeight="1" x14ac:dyDescent="0.25"/>
  <cols>
    <col min="1" max="1" width="6.109375" style="1" customWidth="1"/>
    <col min="2" max="2" width="18.33203125" style="1" bestFit="1" customWidth="1"/>
    <col min="3" max="3" width="26" style="1" bestFit="1" customWidth="1"/>
    <col min="4" max="4" width="20" style="1" bestFit="1" customWidth="1"/>
    <col min="5" max="6" width="10.21875" style="1" bestFit="1" customWidth="1"/>
    <col min="7" max="7" width="15.6640625" style="1" hidden="1" customWidth="1"/>
    <col min="8" max="8" width="17.109375" style="1" hidden="1" customWidth="1"/>
    <col min="9" max="9" width="15.6640625" style="1" hidden="1" customWidth="1"/>
    <col min="10" max="10" width="17.21875" style="1" hidden="1" customWidth="1"/>
    <col min="11" max="12" width="16.77734375" style="1" bestFit="1" customWidth="1"/>
    <col min="13" max="13" width="146" style="1" customWidth="1"/>
    <col min="14" max="14" width="15.6640625" style="1" customWidth="1"/>
    <col min="15" max="16384" width="15.6640625" style="1"/>
  </cols>
  <sheetData>
    <row r="1" spans="1:13" ht="42" customHeight="1" x14ac:dyDescent="0.25">
      <c r="A1" s="94" t="s">
        <v>312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3" ht="30" customHeight="1" x14ac:dyDescent="0.25">
      <c r="A2" s="33" t="s">
        <v>2</v>
      </c>
      <c r="B2" s="33" t="s">
        <v>313</v>
      </c>
      <c r="C2" s="33" t="s">
        <v>314</v>
      </c>
      <c r="D2" s="43" t="s">
        <v>425</v>
      </c>
      <c r="E2" s="33" t="s">
        <v>7</v>
      </c>
      <c r="F2" s="33" t="s">
        <v>8</v>
      </c>
      <c r="G2" s="34" t="s">
        <v>315</v>
      </c>
      <c r="H2" s="35" t="s">
        <v>316</v>
      </c>
      <c r="I2" s="33" t="s">
        <v>317</v>
      </c>
      <c r="J2" s="36" t="s">
        <v>318</v>
      </c>
      <c r="K2" s="43" t="s">
        <v>380</v>
      </c>
      <c r="L2" s="33" t="s">
        <v>319</v>
      </c>
      <c r="M2" s="43" t="s">
        <v>407</v>
      </c>
    </row>
    <row r="3" spans="1:13" ht="69.599999999999994" x14ac:dyDescent="0.25">
      <c r="A3" s="2">
        <f>ROW()-2</f>
        <v>1</v>
      </c>
      <c r="B3" s="95" t="s">
        <v>320</v>
      </c>
      <c r="C3" s="55" t="s">
        <v>13</v>
      </c>
      <c r="D3" s="55" t="s">
        <v>472</v>
      </c>
      <c r="E3" s="55">
        <v>1</v>
      </c>
      <c r="F3" s="55" t="s">
        <v>16</v>
      </c>
      <c r="G3" s="56">
        <v>24750</v>
      </c>
      <c r="H3" s="56">
        <f>G3*E3</f>
        <v>24750</v>
      </c>
      <c r="I3" s="56">
        <v>8500</v>
      </c>
      <c r="J3" s="56">
        <f>I3*E3</f>
        <v>8500</v>
      </c>
      <c r="K3" s="56"/>
      <c r="L3" s="56"/>
      <c r="M3" s="57" t="s">
        <v>416</v>
      </c>
    </row>
    <row r="4" spans="1:13" ht="117" customHeight="1" x14ac:dyDescent="0.25">
      <c r="A4" s="2">
        <f t="shared" ref="A4:A17" si="0">ROW()-2</f>
        <v>2</v>
      </c>
      <c r="B4" s="95"/>
      <c r="C4" s="55" t="s">
        <v>20</v>
      </c>
      <c r="D4" s="55"/>
      <c r="E4" s="55">
        <v>1</v>
      </c>
      <c r="F4" s="55" t="s">
        <v>16</v>
      </c>
      <c r="G4" s="56">
        <v>2766</v>
      </c>
      <c r="H4" s="56">
        <f t="shared" ref="H4:H14" si="1">G4*E4</f>
        <v>2766</v>
      </c>
      <c r="I4" s="56">
        <v>1800</v>
      </c>
      <c r="J4" s="56">
        <f t="shared" ref="J4:J17" si="2">I4*E4</f>
        <v>1800</v>
      </c>
      <c r="K4" s="56"/>
      <c r="L4" s="56"/>
      <c r="M4" s="57" t="s">
        <v>417</v>
      </c>
    </row>
    <row r="5" spans="1:13" ht="156.6" x14ac:dyDescent="0.25">
      <c r="A5" s="2">
        <f t="shared" si="0"/>
        <v>3</v>
      </c>
      <c r="B5" s="95"/>
      <c r="C5" s="55" t="s">
        <v>26</v>
      </c>
      <c r="D5" s="55"/>
      <c r="E5" s="55">
        <v>2</v>
      </c>
      <c r="F5" s="55" t="s">
        <v>16</v>
      </c>
      <c r="G5" s="56">
        <v>2545</v>
      </c>
      <c r="H5" s="56">
        <f t="shared" si="1"/>
        <v>5090</v>
      </c>
      <c r="I5" s="56">
        <v>1200</v>
      </c>
      <c r="J5" s="56">
        <f t="shared" si="2"/>
        <v>2400</v>
      </c>
      <c r="K5" s="56"/>
      <c r="L5" s="56"/>
      <c r="M5" s="57" t="s">
        <v>22</v>
      </c>
    </row>
    <row r="6" spans="1:13" ht="115.8" customHeight="1" x14ac:dyDescent="0.25">
      <c r="A6" s="2">
        <f t="shared" si="0"/>
        <v>4</v>
      </c>
      <c r="B6" s="95"/>
      <c r="C6" s="55" t="s">
        <v>31</v>
      </c>
      <c r="D6" s="55" t="s">
        <v>474</v>
      </c>
      <c r="E6" s="55">
        <v>1</v>
      </c>
      <c r="F6" s="55" t="s">
        <v>70</v>
      </c>
      <c r="G6" s="56" t="s">
        <v>321</v>
      </c>
      <c r="H6" s="56" t="s">
        <v>321</v>
      </c>
      <c r="I6" s="56">
        <v>23500</v>
      </c>
      <c r="J6" s="56">
        <f t="shared" si="2"/>
        <v>23500</v>
      </c>
      <c r="K6" s="56"/>
      <c r="L6" s="56"/>
      <c r="M6" s="57" t="s">
        <v>415</v>
      </c>
    </row>
    <row r="7" spans="1:13" ht="30" customHeight="1" x14ac:dyDescent="0.25">
      <c r="A7" s="2">
        <f t="shared" si="0"/>
        <v>5</v>
      </c>
      <c r="B7" s="95"/>
      <c r="C7" s="55" t="s">
        <v>28</v>
      </c>
      <c r="D7" s="55" t="s">
        <v>473</v>
      </c>
      <c r="E7" s="55">
        <v>1</v>
      </c>
      <c r="F7" s="55" t="s">
        <v>16</v>
      </c>
      <c r="G7" s="56">
        <v>15500</v>
      </c>
      <c r="H7" s="56">
        <f t="shared" si="1"/>
        <v>15500</v>
      </c>
      <c r="I7" s="56">
        <v>4500</v>
      </c>
      <c r="J7" s="56">
        <f t="shared" si="2"/>
        <v>4500</v>
      </c>
      <c r="K7" s="56"/>
      <c r="L7" s="56"/>
      <c r="M7" s="57" t="s">
        <v>420</v>
      </c>
    </row>
    <row r="8" spans="1:13" ht="17.399999999999999" x14ac:dyDescent="0.25">
      <c r="A8" s="2">
        <f t="shared" si="0"/>
        <v>6</v>
      </c>
      <c r="B8" s="95"/>
      <c r="C8" s="55" t="s">
        <v>322</v>
      </c>
      <c r="D8" s="55" t="s">
        <v>477</v>
      </c>
      <c r="E8" s="55">
        <v>6</v>
      </c>
      <c r="F8" s="55" t="s">
        <v>16</v>
      </c>
      <c r="G8" s="56">
        <v>3395</v>
      </c>
      <c r="H8" s="56">
        <f t="shared" si="1"/>
        <v>20370</v>
      </c>
      <c r="I8" s="56">
        <v>1360</v>
      </c>
      <c r="J8" s="56">
        <f t="shared" si="2"/>
        <v>8160</v>
      </c>
      <c r="K8" s="56"/>
      <c r="L8" s="56"/>
      <c r="M8" s="57" t="s">
        <v>409</v>
      </c>
    </row>
    <row r="9" spans="1:13" ht="17.399999999999999" x14ac:dyDescent="0.25">
      <c r="A9" s="2">
        <f t="shared" si="0"/>
        <v>7</v>
      </c>
      <c r="B9" s="95"/>
      <c r="C9" s="55" t="s">
        <v>37</v>
      </c>
      <c r="D9" s="55" t="s">
        <v>475</v>
      </c>
      <c r="E9" s="55">
        <v>1</v>
      </c>
      <c r="F9" s="55" t="s">
        <v>16</v>
      </c>
      <c r="G9" s="56">
        <v>4356</v>
      </c>
      <c r="H9" s="56">
        <f t="shared" si="1"/>
        <v>4356</v>
      </c>
      <c r="I9" s="56" t="s">
        <v>321</v>
      </c>
      <c r="J9" s="56" t="s">
        <v>321</v>
      </c>
      <c r="K9" s="56"/>
      <c r="L9" s="56"/>
      <c r="M9" s="57" t="s">
        <v>421</v>
      </c>
    </row>
    <row r="10" spans="1:13" ht="40.200000000000003" customHeight="1" x14ac:dyDescent="0.25">
      <c r="A10" s="2">
        <f t="shared" si="0"/>
        <v>8</v>
      </c>
      <c r="B10" s="95"/>
      <c r="C10" s="55" t="s">
        <v>323</v>
      </c>
      <c r="D10" s="55" t="s">
        <v>478</v>
      </c>
      <c r="E10" s="55">
        <v>1</v>
      </c>
      <c r="F10" s="55" t="s">
        <v>16</v>
      </c>
      <c r="G10" s="56">
        <v>11220</v>
      </c>
      <c r="H10" s="56">
        <f t="shared" si="1"/>
        <v>11220</v>
      </c>
      <c r="I10" s="56">
        <v>3800</v>
      </c>
      <c r="J10" s="56">
        <f t="shared" si="2"/>
        <v>3800</v>
      </c>
      <c r="K10" s="56"/>
      <c r="L10" s="56"/>
      <c r="M10" s="98" t="s">
        <v>410</v>
      </c>
    </row>
    <row r="11" spans="1:13" ht="57" customHeight="1" x14ac:dyDescent="0.25">
      <c r="A11" s="2">
        <f t="shared" si="0"/>
        <v>9</v>
      </c>
      <c r="B11" s="95"/>
      <c r="C11" s="55" t="s">
        <v>324</v>
      </c>
      <c r="D11" s="55" t="s">
        <v>479</v>
      </c>
      <c r="E11" s="55">
        <v>1</v>
      </c>
      <c r="F11" s="55" t="s">
        <v>16</v>
      </c>
      <c r="G11" s="56">
        <v>7425</v>
      </c>
      <c r="H11" s="56">
        <f t="shared" si="1"/>
        <v>7425</v>
      </c>
      <c r="I11" s="56">
        <v>3000</v>
      </c>
      <c r="J11" s="56">
        <f t="shared" si="2"/>
        <v>3000</v>
      </c>
      <c r="K11" s="56"/>
      <c r="L11" s="56"/>
      <c r="M11" s="99"/>
    </row>
    <row r="12" spans="1:13" ht="30" customHeight="1" x14ac:dyDescent="0.25">
      <c r="A12" s="2">
        <f t="shared" si="0"/>
        <v>10</v>
      </c>
      <c r="B12" s="95"/>
      <c r="C12" s="58" t="s">
        <v>110</v>
      </c>
      <c r="D12" s="58"/>
      <c r="E12" s="55">
        <v>2</v>
      </c>
      <c r="F12" s="55" t="s">
        <v>16</v>
      </c>
      <c r="G12" s="56">
        <v>5720</v>
      </c>
      <c r="H12" s="56">
        <f t="shared" si="1"/>
        <v>11440</v>
      </c>
      <c r="I12" s="56">
        <v>1980</v>
      </c>
      <c r="J12" s="56">
        <f t="shared" si="2"/>
        <v>3960</v>
      </c>
      <c r="K12" s="56"/>
      <c r="L12" s="56"/>
      <c r="M12" s="57" t="s">
        <v>414</v>
      </c>
    </row>
    <row r="13" spans="1:13" ht="74.400000000000006" customHeight="1" x14ac:dyDescent="0.25">
      <c r="A13" s="2">
        <f t="shared" si="0"/>
        <v>11</v>
      </c>
      <c r="B13" s="95"/>
      <c r="C13" s="55" t="s">
        <v>54</v>
      </c>
      <c r="D13" s="59" t="s">
        <v>481</v>
      </c>
      <c r="E13" s="55">
        <v>1</v>
      </c>
      <c r="F13" s="55" t="s">
        <v>16</v>
      </c>
      <c r="G13" s="56">
        <v>3267</v>
      </c>
      <c r="H13" s="56">
        <f t="shared" si="1"/>
        <v>3267</v>
      </c>
      <c r="I13" s="56">
        <v>2500</v>
      </c>
      <c r="J13" s="56">
        <f t="shared" si="2"/>
        <v>2500</v>
      </c>
      <c r="K13" s="56"/>
      <c r="L13" s="56"/>
      <c r="M13" s="57" t="s">
        <v>418</v>
      </c>
    </row>
    <row r="14" spans="1:13" ht="72" customHeight="1" x14ac:dyDescent="0.25">
      <c r="A14" s="2">
        <f t="shared" si="0"/>
        <v>12</v>
      </c>
      <c r="B14" s="95"/>
      <c r="C14" s="55" t="s">
        <v>61</v>
      </c>
      <c r="D14" s="59" t="s">
        <v>62</v>
      </c>
      <c r="E14" s="55">
        <v>2</v>
      </c>
      <c r="F14" s="55" t="s">
        <v>16</v>
      </c>
      <c r="G14" s="56">
        <v>1564</v>
      </c>
      <c r="H14" s="56">
        <f t="shared" si="1"/>
        <v>3128</v>
      </c>
      <c r="I14" s="56">
        <v>1600</v>
      </c>
      <c r="J14" s="56">
        <f t="shared" si="2"/>
        <v>3200</v>
      </c>
      <c r="K14" s="56"/>
      <c r="L14" s="56"/>
      <c r="M14" s="60" t="s">
        <v>418</v>
      </c>
    </row>
    <row r="15" spans="1:13" ht="93" customHeight="1" x14ac:dyDescent="0.25">
      <c r="A15" s="2">
        <f t="shared" si="0"/>
        <v>13</v>
      </c>
      <c r="B15" s="95"/>
      <c r="C15" s="55" t="s">
        <v>67</v>
      </c>
      <c r="D15" s="59" t="s">
        <v>482</v>
      </c>
      <c r="E15" s="55">
        <v>1</v>
      </c>
      <c r="F15" s="55" t="s">
        <v>70</v>
      </c>
      <c r="G15" s="56" t="s">
        <v>321</v>
      </c>
      <c r="H15" s="56" t="s">
        <v>321</v>
      </c>
      <c r="I15" s="56">
        <v>9500</v>
      </c>
      <c r="J15" s="56">
        <f t="shared" si="2"/>
        <v>9500</v>
      </c>
      <c r="K15" s="56"/>
      <c r="L15" s="56"/>
      <c r="M15" s="60" t="s">
        <v>432</v>
      </c>
    </row>
    <row r="16" spans="1:13" ht="40.799999999999997" customHeight="1" x14ac:dyDescent="0.25">
      <c r="A16" s="2">
        <f t="shared" si="0"/>
        <v>14</v>
      </c>
      <c r="B16" s="95"/>
      <c r="C16" s="55" t="s">
        <v>325</v>
      </c>
      <c r="D16" s="59" t="s">
        <v>64</v>
      </c>
      <c r="E16" s="55">
        <v>1</v>
      </c>
      <c r="F16" s="55" t="s">
        <v>16</v>
      </c>
      <c r="G16" s="56">
        <v>7848</v>
      </c>
      <c r="H16" s="56">
        <f>G16*E16</f>
        <v>7848</v>
      </c>
      <c r="I16" s="56">
        <v>4500</v>
      </c>
      <c r="J16" s="56">
        <f t="shared" si="2"/>
        <v>4500</v>
      </c>
      <c r="K16" s="56"/>
      <c r="L16" s="56"/>
      <c r="M16" s="60" t="s">
        <v>411</v>
      </c>
    </row>
    <row r="17" spans="1:13" ht="30" customHeight="1" x14ac:dyDescent="0.25">
      <c r="A17" s="2">
        <f t="shared" si="0"/>
        <v>15</v>
      </c>
      <c r="B17" s="95"/>
      <c r="C17" s="55" t="s">
        <v>77</v>
      </c>
      <c r="D17" s="59" t="s">
        <v>72</v>
      </c>
      <c r="E17" s="55">
        <v>2</v>
      </c>
      <c r="F17" s="55" t="s">
        <v>16</v>
      </c>
      <c r="G17" s="56">
        <v>1564</v>
      </c>
      <c r="H17" s="56">
        <f>G17*E17</f>
        <v>3128</v>
      </c>
      <c r="I17" s="56">
        <v>750</v>
      </c>
      <c r="J17" s="56">
        <f t="shared" si="2"/>
        <v>1500</v>
      </c>
      <c r="K17" s="56"/>
      <c r="L17" s="56"/>
      <c r="M17" s="57" t="s">
        <v>412</v>
      </c>
    </row>
    <row r="18" spans="1:13" ht="30" customHeight="1" x14ac:dyDescent="0.25">
      <c r="A18" s="2"/>
      <c r="B18" s="55"/>
      <c r="C18" s="55"/>
      <c r="D18" s="55"/>
      <c r="E18" s="55"/>
      <c r="F18" s="55"/>
      <c r="G18" s="56"/>
      <c r="H18" s="61">
        <f>SUM(H3:H17)</f>
        <v>120288</v>
      </c>
      <c r="I18" s="62"/>
      <c r="J18" s="63">
        <f>SUM(J3:J17)</f>
        <v>80820</v>
      </c>
      <c r="K18" s="63"/>
      <c r="L18" s="63"/>
      <c r="M18" s="55"/>
    </row>
    <row r="19" spans="1:13" ht="83.4" customHeight="1" x14ac:dyDescent="0.25">
      <c r="A19" s="2">
        <f t="shared" ref="A19:A24" si="3">ROW()-2</f>
        <v>17</v>
      </c>
      <c r="B19" s="95" t="s">
        <v>326</v>
      </c>
      <c r="C19" s="55" t="s">
        <v>13</v>
      </c>
      <c r="D19" s="58" t="s">
        <v>483</v>
      </c>
      <c r="E19" s="55">
        <v>1</v>
      </c>
      <c r="F19" s="55" t="s">
        <v>16</v>
      </c>
      <c r="G19" s="56">
        <v>19397</v>
      </c>
      <c r="H19" s="56">
        <f>G19*E19</f>
        <v>19397</v>
      </c>
      <c r="I19" s="56">
        <v>8500</v>
      </c>
      <c r="J19" s="56">
        <f>I19*E19</f>
        <v>8500</v>
      </c>
      <c r="K19" s="56"/>
      <c r="L19" s="56"/>
      <c r="M19" s="57" t="s">
        <v>413</v>
      </c>
    </row>
    <row r="20" spans="1:13" ht="141" customHeight="1" x14ac:dyDescent="0.25">
      <c r="A20" s="2">
        <f t="shared" si="3"/>
        <v>18</v>
      </c>
      <c r="B20" s="95"/>
      <c r="C20" s="55" t="s">
        <v>20</v>
      </c>
      <c r="D20" s="58" t="s">
        <v>484</v>
      </c>
      <c r="E20" s="55">
        <v>1</v>
      </c>
      <c r="F20" s="55" t="s">
        <v>16</v>
      </c>
      <c r="G20" s="56">
        <v>2830</v>
      </c>
      <c r="H20" s="56">
        <f t="shared" ref="H20:H30" si="4">G20*E20</f>
        <v>2830</v>
      </c>
      <c r="I20" s="56">
        <v>1800</v>
      </c>
      <c r="J20" s="56">
        <f t="shared" ref="J20:J34" si="5">I20*E20</f>
        <v>1800</v>
      </c>
      <c r="K20" s="56"/>
      <c r="L20" s="56"/>
      <c r="M20" s="57" t="s">
        <v>422</v>
      </c>
    </row>
    <row r="21" spans="1:13" ht="133.19999999999999" customHeight="1" x14ac:dyDescent="0.25">
      <c r="A21" s="2">
        <f t="shared" si="3"/>
        <v>19</v>
      </c>
      <c r="B21" s="95"/>
      <c r="C21" s="55" t="s">
        <v>26</v>
      </c>
      <c r="D21" s="58" t="s">
        <v>485</v>
      </c>
      <c r="E21" s="55">
        <v>2</v>
      </c>
      <c r="F21" s="55" t="s">
        <v>16</v>
      </c>
      <c r="G21" s="56">
        <v>2620</v>
      </c>
      <c r="H21" s="56">
        <f t="shared" si="4"/>
        <v>5240</v>
      </c>
      <c r="I21" s="56">
        <v>1200</v>
      </c>
      <c r="J21" s="56">
        <f t="shared" si="5"/>
        <v>2400</v>
      </c>
      <c r="K21" s="56"/>
      <c r="L21" s="56"/>
      <c r="M21" s="57" t="s">
        <v>89</v>
      </c>
    </row>
    <row r="22" spans="1:13" ht="118.2" customHeight="1" x14ac:dyDescent="0.25">
      <c r="A22" s="2">
        <f t="shared" si="3"/>
        <v>20</v>
      </c>
      <c r="B22" s="95"/>
      <c r="C22" s="55" t="s">
        <v>31</v>
      </c>
      <c r="D22" s="55" t="s">
        <v>474</v>
      </c>
      <c r="E22" s="55">
        <v>1</v>
      </c>
      <c r="F22" s="55" t="s">
        <v>70</v>
      </c>
      <c r="G22" s="56" t="s">
        <v>321</v>
      </c>
      <c r="H22" s="56" t="s">
        <v>321</v>
      </c>
      <c r="I22" s="56">
        <v>23500</v>
      </c>
      <c r="J22" s="56">
        <f t="shared" si="5"/>
        <v>23500</v>
      </c>
      <c r="K22" s="56"/>
      <c r="L22" s="56"/>
      <c r="M22" s="57" t="s">
        <v>415</v>
      </c>
    </row>
    <row r="23" spans="1:13" ht="30" customHeight="1" x14ac:dyDescent="0.25">
      <c r="A23" s="2">
        <f t="shared" si="3"/>
        <v>21</v>
      </c>
      <c r="B23" s="95"/>
      <c r="C23" s="55" t="s">
        <v>28</v>
      </c>
      <c r="D23" s="55" t="s">
        <v>473</v>
      </c>
      <c r="E23" s="55">
        <v>1</v>
      </c>
      <c r="F23" s="55" t="s">
        <v>16</v>
      </c>
      <c r="G23" s="56">
        <v>9505</v>
      </c>
      <c r="H23" s="56">
        <f t="shared" si="4"/>
        <v>9505</v>
      </c>
      <c r="I23" s="56">
        <v>4500</v>
      </c>
      <c r="J23" s="56">
        <f t="shared" si="5"/>
        <v>4500</v>
      </c>
      <c r="K23" s="56"/>
      <c r="L23" s="56"/>
      <c r="M23" s="57" t="s">
        <v>30</v>
      </c>
    </row>
    <row r="24" spans="1:13" ht="30" customHeight="1" x14ac:dyDescent="0.25">
      <c r="A24" s="2">
        <f t="shared" si="3"/>
        <v>22</v>
      </c>
      <c r="B24" s="95"/>
      <c r="C24" s="55" t="s">
        <v>322</v>
      </c>
      <c r="D24" s="55"/>
      <c r="E24" s="55">
        <v>6</v>
      </c>
      <c r="F24" s="55" t="s">
        <v>16</v>
      </c>
      <c r="G24" s="56">
        <v>2970</v>
      </c>
      <c r="H24" s="56">
        <f t="shared" si="4"/>
        <v>17820</v>
      </c>
      <c r="I24" s="56">
        <v>1360</v>
      </c>
      <c r="J24" s="56">
        <f t="shared" si="5"/>
        <v>8160</v>
      </c>
      <c r="K24" s="56"/>
      <c r="L24" s="56"/>
      <c r="M24" s="57" t="s">
        <v>34</v>
      </c>
    </row>
    <row r="25" spans="1:13" ht="43.8" customHeight="1" x14ac:dyDescent="0.25">
      <c r="A25" s="2">
        <f t="shared" ref="A25:A34" si="6">ROW()-2</f>
        <v>23</v>
      </c>
      <c r="B25" s="95"/>
      <c r="C25" s="55" t="s">
        <v>37</v>
      </c>
      <c r="D25" s="55" t="s">
        <v>475</v>
      </c>
      <c r="E25" s="55">
        <v>1</v>
      </c>
      <c r="F25" s="55" t="s">
        <v>16</v>
      </c>
      <c r="G25" s="56">
        <v>4356</v>
      </c>
      <c r="H25" s="56">
        <f t="shared" si="4"/>
        <v>4356</v>
      </c>
      <c r="I25" s="56" t="s">
        <v>321</v>
      </c>
      <c r="J25" s="56" t="s">
        <v>321</v>
      </c>
      <c r="K25" s="56"/>
      <c r="L25" s="56"/>
      <c r="M25" s="57" t="s">
        <v>39</v>
      </c>
    </row>
    <row r="26" spans="1:13" ht="39" customHeight="1" x14ac:dyDescent="0.25">
      <c r="A26" s="2">
        <f t="shared" si="6"/>
        <v>24</v>
      </c>
      <c r="B26" s="95"/>
      <c r="C26" s="55" t="s">
        <v>323</v>
      </c>
      <c r="D26" s="59" t="s">
        <v>43</v>
      </c>
      <c r="E26" s="55">
        <v>1</v>
      </c>
      <c r="F26" s="55" t="s">
        <v>16</v>
      </c>
      <c r="G26" s="56">
        <v>11223</v>
      </c>
      <c r="H26" s="56">
        <f t="shared" si="4"/>
        <v>11223</v>
      </c>
      <c r="I26" s="56">
        <v>3800</v>
      </c>
      <c r="J26" s="56">
        <f t="shared" si="5"/>
        <v>3800</v>
      </c>
      <c r="K26" s="56"/>
      <c r="L26" s="56"/>
      <c r="M26" s="100" t="s">
        <v>410</v>
      </c>
    </row>
    <row r="27" spans="1:13" ht="47.4" customHeight="1" x14ac:dyDescent="0.25">
      <c r="A27" s="2">
        <f t="shared" si="6"/>
        <v>25</v>
      </c>
      <c r="B27" s="95"/>
      <c r="C27" s="55" t="s">
        <v>324</v>
      </c>
      <c r="D27" s="59" t="s">
        <v>48</v>
      </c>
      <c r="E27" s="55">
        <v>1</v>
      </c>
      <c r="F27" s="55" t="s">
        <v>16</v>
      </c>
      <c r="G27" s="56">
        <v>7425</v>
      </c>
      <c r="H27" s="56">
        <f t="shared" si="4"/>
        <v>7425</v>
      </c>
      <c r="I27" s="56">
        <v>3000</v>
      </c>
      <c r="J27" s="56">
        <f t="shared" si="5"/>
        <v>3000</v>
      </c>
      <c r="K27" s="56"/>
      <c r="L27" s="56"/>
      <c r="M27" s="101"/>
    </row>
    <row r="28" spans="1:13" ht="38.4" customHeight="1" x14ac:dyDescent="0.25">
      <c r="A28" s="2">
        <f t="shared" si="6"/>
        <v>26</v>
      </c>
      <c r="B28" s="95"/>
      <c r="C28" s="58" t="s">
        <v>110</v>
      </c>
      <c r="D28" s="58"/>
      <c r="E28" s="55">
        <v>2</v>
      </c>
      <c r="F28" s="55" t="s">
        <v>16</v>
      </c>
      <c r="G28" s="56">
        <v>5720</v>
      </c>
      <c r="H28" s="56">
        <f t="shared" si="4"/>
        <v>11440</v>
      </c>
      <c r="I28" s="56">
        <v>1980</v>
      </c>
      <c r="J28" s="56">
        <f t="shared" si="5"/>
        <v>3960</v>
      </c>
      <c r="K28" s="56"/>
      <c r="L28" s="56"/>
      <c r="M28" s="57" t="s">
        <v>414</v>
      </c>
    </row>
    <row r="29" spans="1:13" ht="72.599999999999994" customHeight="1" x14ac:dyDescent="0.25">
      <c r="A29" s="2">
        <f t="shared" si="6"/>
        <v>27</v>
      </c>
      <c r="B29" s="95"/>
      <c r="C29" s="55" t="s">
        <v>54</v>
      </c>
      <c r="D29" s="59" t="s">
        <v>58</v>
      </c>
      <c r="E29" s="55">
        <v>1</v>
      </c>
      <c r="F29" s="55" t="s">
        <v>16</v>
      </c>
      <c r="G29" s="56">
        <v>3267</v>
      </c>
      <c r="H29" s="56">
        <f t="shared" si="4"/>
        <v>3267</v>
      </c>
      <c r="I29" s="56">
        <v>2500</v>
      </c>
      <c r="J29" s="56">
        <f t="shared" si="5"/>
        <v>2500</v>
      </c>
      <c r="K29" s="56"/>
      <c r="L29" s="56"/>
      <c r="M29" s="57" t="s">
        <v>418</v>
      </c>
    </row>
    <row r="30" spans="1:13" ht="105.6" customHeight="1" x14ac:dyDescent="0.25">
      <c r="A30" s="2">
        <f t="shared" si="6"/>
        <v>28</v>
      </c>
      <c r="B30" s="95"/>
      <c r="C30" s="55" t="s">
        <v>61</v>
      </c>
      <c r="D30" s="59" t="s">
        <v>62</v>
      </c>
      <c r="E30" s="55">
        <v>2</v>
      </c>
      <c r="F30" s="55" t="s">
        <v>16</v>
      </c>
      <c r="G30" s="56">
        <v>1564</v>
      </c>
      <c r="H30" s="56">
        <f t="shared" si="4"/>
        <v>3128</v>
      </c>
      <c r="I30" s="56">
        <v>1600</v>
      </c>
      <c r="J30" s="56">
        <f t="shared" si="5"/>
        <v>3200</v>
      </c>
      <c r="K30" s="56"/>
      <c r="L30" s="56"/>
      <c r="M30" s="57" t="s">
        <v>415</v>
      </c>
    </row>
    <row r="31" spans="1:13" ht="99.6" customHeight="1" x14ac:dyDescent="0.25">
      <c r="A31" s="2">
        <f t="shared" si="6"/>
        <v>29</v>
      </c>
      <c r="B31" s="95"/>
      <c r="C31" s="55" t="s">
        <v>92</v>
      </c>
      <c r="D31" s="59" t="s">
        <v>93</v>
      </c>
      <c r="E31" s="55">
        <v>1</v>
      </c>
      <c r="F31" s="55" t="s">
        <v>16</v>
      </c>
      <c r="G31" s="56" t="s">
        <v>321</v>
      </c>
      <c r="H31" s="56" t="s">
        <v>321</v>
      </c>
      <c r="I31" s="56">
        <v>2200</v>
      </c>
      <c r="J31" s="56">
        <f t="shared" si="5"/>
        <v>2200</v>
      </c>
      <c r="K31" s="56"/>
      <c r="L31" s="56"/>
      <c r="M31" s="57" t="s">
        <v>432</v>
      </c>
    </row>
    <row r="32" spans="1:13" ht="123.6" customHeight="1" x14ac:dyDescent="0.25">
      <c r="A32" s="2">
        <f t="shared" si="6"/>
        <v>30</v>
      </c>
      <c r="B32" s="95"/>
      <c r="C32" s="55" t="s">
        <v>67</v>
      </c>
      <c r="D32" s="59" t="s">
        <v>94</v>
      </c>
      <c r="E32" s="55">
        <v>1</v>
      </c>
      <c r="F32" s="55" t="s">
        <v>70</v>
      </c>
      <c r="G32" s="56" t="s">
        <v>321</v>
      </c>
      <c r="H32" s="56" t="s">
        <v>321</v>
      </c>
      <c r="I32" s="56">
        <v>9000</v>
      </c>
      <c r="J32" s="56">
        <f t="shared" si="5"/>
        <v>9000</v>
      </c>
      <c r="K32" s="56"/>
      <c r="L32" s="56"/>
      <c r="M32" s="57" t="s">
        <v>419</v>
      </c>
    </row>
    <row r="33" spans="1:13" ht="59.4" customHeight="1" x14ac:dyDescent="0.25">
      <c r="A33" s="2">
        <f t="shared" si="6"/>
        <v>31</v>
      </c>
      <c r="B33" s="95"/>
      <c r="C33" s="55" t="s">
        <v>325</v>
      </c>
      <c r="D33" s="59" t="s">
        <v>82</v>
      </c>
      <c r="E33" s="55">
        <v>1</v>
      </c>
      <c r="F33" s="55" t="s">
        <v>16</v>
      </c>
      <c r="G33" s="56">
        <v>5987</v>
      </c>
      <c r="H33" s="56">
        <f>G33*E33</f>
        <v>5987</v>
      </c>
      <c r="I33" s="56">
        <v>4500</v>
      </c>
      <c r="J33" s="56">
        <f t="shared" si="5"/>
        <v>4500</v>
      </c>
      <c r="K33" s="56"/>
      <c r="L33" s="56"/>
      <c r="M33" s="57" t="s">
        <v>423</v>
      </c>
    </row>
    <row r="34" spans="1:13" ht="30" customHeight="1" x14ac:dyDescent="0.25">
      <c r="A34" s="2">
        <f t="shared" si="6"/>
        <v>32</v>
      </c>
      <c r="B34" s="95"/>
      <c r="C34" s="55" t="s">
        <v>77</v>
      </c>
      <c r="D34" s="59" t="s">
        <v>84</v>
      </c>
      <c r="E34" s="55">
        <v>2</v>
      </c>
      <c r="F34" s="55" t="s">
        <v>16</v>
      </c>
      <c r="G34" s="56">
        <v>615</v>
      </c>
      <c r="H34" s="56">
        <f>G34*E34</f>
        <v>1230</v>
      </c>
      <c r="I34" s="56">
        <v>750</v>
      </c>
      <c r="J34" s="56">
        <f t="shared" si="5"/>
        <v>1500</v>
      </c>
      <c r="K34" s="56"/>
      <c r="L34" s="56"/>
      <c r="M34" s="57" t="s">
        <v>424</v>
      </c>
    </row>
    <row r="35" spans="1:13" ht="30" customHeight="1" x14ac:dyDescent="0.25">
      <c r="A35" s="2"/>
      <c r="B35" s="55"/>
      <c r="C35" s="55"/>
      <c r="D35" s="55"/>
      <c r="E35" s="55"/>
      <c r="F35" s="55"/>
      <c r="G35" s="56"/>
      <c r="H35" s="61">
        <f>SUM(H19:H34)</f>
        <v>102848</v>
      </c>
      <c r="I35" s="62"/>
      <c r="J35" s="63">
        <f>SUM(J19:J34)</f>
        <v>82520</v>
      </c>
      <c r="K35" s="63"/>
      <c r="L35" s="63"/>
      <c r="M35" s="55"/>
    </row>
    <row r="36" spans="1:13" ht="87" x14ac:dyDescent="0.25">
      <c r="A36" s="2">
        <f t="shared" ref="A36:A45" si="7">ROW()-2</f>
        <v>34</v>
      </c>
      <c r="B36" s="95" t="s">
        <v>327</v>
      </c>
      <c r="C36" s="55" t="s">
        <v>13</v>
      </c>
      <c r="D36" s="59" t="s">
        <v>103</v>
      </c>
      <c r="E36" s="55">
        <v>9</v>
      </c>
      <c r="F36" s="55" t="s">
        <v>16</v>
      </c>
      <c r="G36" s="56">
        <v>7980</v>
      </c>
      <c r="H36" s="56">
        <f>G36*E36</f>
        <v>71820</v>
      </c>
      <c r="I36" s="56">
        <v>5600</v>
      </c>
      <c r="J36" s="56">
        <f>I36*E36</f>
        <v>50400</v>
      </c>
      <c r="K36" s="56"/>
      <c r="L36" s="56"/>
      <c r="M36" s="57" t="s">
        <v>426</v>
      </c>
    </row>
    <row r="37" spans="1:13" ht="104.4" x14ac:dyDescent="0.25">
      <c r="A37" s="2">
        <f t="shared" si="7"/>
        <v>35</v>
      </c>
      <c r="B37" s="95"/>
      <c r="C37" s="55" t="s">
        <v>20</v>
      </c>
      <c r="D37" s="59"/>
      <c r="E37" s="55">
        <v>9</v>
      </c>
      <c r="F37" s="55" t="s">
        <v>16</v>
      </c>
      <c r="G37" s="56">
        <v>2543</v>
      </c>
      <c r="H37" s="56">
        <f t="shared" ref="H37:H45" si="8">G37*E37</f>
        <v>22887</v>
      </c>
      <c r="I37" s="56">
        <v>1950</v>
      </c>
      <c r="J37" s="56">
        <f t="shared" ref="J37:J45" si="9">I37*E37</f>
        <v>17550</v>
      </c>
      <c r="K37" s="56"/>
      <c r="L37" s="56"/>
      <c r="M37" s="57" t="s">
        <v>427</v>
      </c>
    </row>
    <row r="38" spans="1:13" ht="104.4" x14ac:dyDescent="0.25">
      <c r="A38" s="2">
        <f t="shared" si="7"/>
        <v>36</v>
      </c>
      <c r="B38" s="95"/>
      <c r="C38" s="55" t="s">
        <v>26</v>
      </c>
      <c r="D38" s="59"/>
      <c r="E38" s="55">
        <v>18</v>
      </c>
      <c r="F38" s="55" t="s">
        <v>16</v>
      </c>
      <c r="G38" s="56">
        <v>1598</v>
      </c>
      <c r="H38" s="56">
        <f t="shared" si="8"/>
        <v>28764</v>
      </c>
      <c r="I38" s="56">
        <v>890</v>
      </c>
      <c r="J38" s="56">
        <f t="shared" si="9"/>
        <v>16020</v>
      </c>
      <c r="K38" s="56"/>
      <c r="L38" s="56"/>
      <c r="M38" s="57" t="s">
        <v>106</v>
      </c>
    </row>
    <row r="39" spans="1:13" ht="174" x14ac:dyDescent="0.25">
      <c r="A39" s="2">
        <f t="shared" si="7"/>
        <v>37</v>
      </c>
      <c r="B39" s="95"/>
      <c r="C39" s="55" t="s">
        <v>31</v>
      </c>
      <c r="D39" s="59" t="s">
        <v>109</v>
      </c>
      <c r="E39" s="55">
        <v>9</v>
      </c>
      <c r="F39" s="55" t="s">
        <v>70</v>
      </c>
      <c r="G39" s="56" t="s">
        <v>321</v>
      </c>
      <c r="H39" s="56" t="s">
        <v>321</v>
      </c>
      <c r="I39" s="56">
        <v>8950</v>
      </c>
      <c r="J39" s="56">
        <f t="shared" si="9"/>
        <v>80550</v>
      </c>
      <c r="K39" s="56"/>
      <c r="L39" s="56"/>
      <c r="M39" s="57" t="s">
        <v>19</v>
      </c>
    </row>
    <row r="40" spans="1:13" ht="174" x14ac:dyDescent="0.25">
      <c r="A40" s="2">
        <f t="shared" si="7"/>
        <v>38</v>
      </c>
      <c r="B40" s="95"/>
      <c r="C40" s="55" t="s">
        <v>92</v>
      </c>
      <c r="D40" s="59" t="s">
        <v>93</v>
      </c>
      <c r="E40" s="55">
        <v>9</v>
      </c>
      <c r="F40" s="55" t="s">
        <v>16</v>
      </c>
      <c r="G40" s="56" t="s">
        <v>321</v>
      </c>
      <c r="H40" s="56" t="s">
        <v>321</v>
      </c>
      <c r="I40" s="56">
        <v>2200</v>
      </c>
      <c r="J40" s="56">
        <f t="shared" si="9"/>
        <v>19800</v>
      </c>
      <c r="K40" s="56"/>
      <c r="L40" s="56"/>
      <c r="M40" s="57" t="s">
        <v>19</v>
      </c>
    </row>
    <row r="41" spans="1:13" ht="30" customHeight="1" x14ac:dyDescent="0.25">
      <c r="A41" s="2">
        <f t="shared" si="7"/>
        <v>39</v>
      </c>
      <c r="B41" s="95"/>
      <c r="C41" s="55" t="s">
        <v>323</v>
      </c>
      <c r="D41" s="59" t="s">
        <v>107</v>
      </c>
      <c r="E41" s="55">
        <v>9</v>
      </c>
      <c r="F41" s="55" t="s">
        <v>16</v>
      </c>
      <c r="G41" s="56">
        <v>3108</v>
      </c>
      <c r="H41" s="56">
        <f t="shared" si="8"/>
        <v>27972</v>
      </c>
      <c r="I41" s="56">
        <v>2550</v>
      </c>
      <c r="J41" s="56">
        <f t="shared" si="9"/>
        <v>22950</v>
      </c>
      <c r="K41" s="56"/>
      <c r="L41" s="56"/>
      <c r="M41" s="98" t="s">
        <v>428</v>
      </c>
    </row>
    <row r="42" spans="1:13" ht="42" customHeight="1" x14ac:dyDescent="0.25">
      <c r="A42" s="2">
        <f t="shared" si="7"/>
        <v>40</v>
      </c>
      <c r="B42" s="95"/>
      <c r="C42" s="55" t="s">
        <v>324</v>
      </c>
      <c r="D42" s="59" t="s">
        <v>48</v>
      </c>
      <c r="E42" s="55">
        <v>9</v>
      </c>
      <c r="F42" s="55" t="s">
        <v>16</v>
      </c>
      <c r="G42" s="56">
        <v>3137</v>
      </c>
      <c r="H42" s="56">
        <f t="shared" si="8"/>
        <v>28233</v>
      </c>
      <c r="I42" s="56">
        <v>1980</v>
      </c>
      <c r="J42" s="56">
        <f t="shared" si="9"/>
        <v>17820</v>
      </c>
      <c r="K42" s="56"/>
      <c r="L42" s="56"/>
      <c r="M42" s="99"/>
    </row>
    <row r="43" spans="1:13" ht="87" x14ac:dyDescent="0.25">
      <c r="A43" s="2">
        <f t="shared" si="7"/>
        <v>41</v>
      </c>
      <c r="B43" s="95"/>
      <c r="C43" s="58" t="s">
        <v>110</v>
      </c>
      <c r="D43" s="58"/>
      <c r="E43" s="55">
        <v>18</v>
      </c>
      <c r="F43" s="55" t="s">
        <v>16</v>
      </c>
      <c r="G43" s="56">
        <v>1326</v>
      </c>
      <c r="H43" s="56">
        <f t="shared" si="8"/>
        <v>23868</v>
      </c>
      <c r="I43" s="56">
        <v>1480</v>
      </c>
      <c r="J43" s="56">
        <f t="shared" si="9"/>
        <v>26640</v>
      </c>
      <c r="K43" s="56"/>
      <c r="L43" s="56"/>
      <c r="M43" s="64" t="s">
        <v>429</v>
      </c>
    </row>
    <row r="44" spans="1:13" ht="30" customHeight="1" x14ac:dyDescent="0.25">
      <c r="A44" s="2">
        <f t="shared" si="7"/>
        <v>42</v>
      </c>
      <c r="B44" s="95"/>
      <c r="C44" s="55" t="s">
        <v>54</v>
      </c>
      <c r="D44" s="59" t="s">
        <v>122</v>
      </c>
      <c r="E44" s="55">
        <v>9</v>
      </c>
      <c r="F44" s="55" t="s">
        <v>16</v>
      </c>
      <c r="G44" s="56">
        <v>2448</v>
      </c>
      <c r="H44" s="56">
        <f t="shared" si="8"/>
        <v>22032</v>
      </c>
      <c r="I44" s="56">
        <v>2500</v>
      </c>
      <c r="J44" s="56">
        <f t="shared" si="9"/>
        <v>22500</v>
      </c>
      <c r="K44" s="56"/>
      <c r="L44" s="56"/>
      <c r="M44" s="96" t="s">
        <v>430</v>
      </c>
    </row>
    <row r="45" spans="1:13" ht="46.2" customHeight="1" x14ac:dyDescent="0.25">
      <c r="A45" s="2">
        <f t="shared" si="7"/>
        <v>43</v>
      </c>
      <c r="B45" s="95"/>
      <c r="C45" s="55" t="s">
        <v>61</v>
      </c>
      <c r="D45" s="59" t="s">
        <v>62</v>
      </c>
      <c r="E45" s="55">
        <v>18</v>
      </c>
      <c r="F45" s="55" t="s">
        <v>16</v>
      </c>
      <c r="G45" s="56">
        <v>929</v>
      </c>
      <c r="H45" s="56">
        <f t="shared" si="8"/>
        <v>16722</v>
      </c>
      <c r="I45" s="56">
        <v>950</v>
      </c>
      <c r="J45" s="56">
        <f t="shared" si="9"/>
        <v>17100</v>
      </c>
      <c r="K45" s="56"/>
      <c r="L45" s="56"/>
      <c r="M45" s="97"/>
    </row>
    <row r="46" spans="1:13" ht="30" customHeight="1" x14ac:dyDescent="0.25">
      <c r="A46" s="2"/>
      <c r="B46" s="55"/>
      <c r="C46" s="55"/>
      <c r="D46" s="55"/>
      <c r="E46" s="55"/>
      <c r="F46" s="55"/>
      <c r="G46" s="56"/>
      <c r="H46" s="61">
        <f>SUM(H36:H45)</f>
        <v>242298</v>
      </c>
      <c r="I46" s="62"/>
      <c r="J46" s="63">
        <f>SUM(J36:J45)</f>
        <v>291330</v>
      </c>
      <c r="K46" s="63"/>
      <c r="L46" s="63"/>
      <c r="M46" s="55"/>
    </row>
    <row r="47" spans="1:13" ht="102.6" customHeight="1" x14ac:dyDescent="0.25">
      <c r="A47" s="2">
        <f t="shared" ref="A47:A52" si="10">ROW()-2</f>
        <v>45</v>
      </c>
      <c r="B47" s="95" t="s">
        <v>328</v>
      </c>
      <c r="C47" s="55" t="s">
        <v>13</v>
      </c>
      <c r="D47" s="58" t="s">
        <v>486</v>
      </c>
      <c r="E47" s="55">
        <v>13</v>
      </c>
      <c r="F47" s="55" t="s">
        <v>16</v>
      </c>
      <c r="G47" s="56">
        <v>2395</v>
      </c>
      <c r="H47" s="56">
        <f t="shared" ref="H47:H52" si="11">G47*E47</f>
        <v>31135</v>
      </c>
      <c r="I47" s="56">
        <v>1650</v>
      </c>
      <c r="J47" s="56">
        <f t="shared" ref="J47:J52" si="12">I47*E47</f>
        <v>21450</v>
      </c>
      <c r="K47" s="56"/>
      <c r="L47" s="56"/>
      <c r="M47" s="65" t="s">
        <v>431</v>
      </c>
    </row>
    <row r="48" spans="1:13" ht="174" x14ac:dyDescent="0.25">
      <c r="A48" s="2">
        <f t="shared" si="10"/>
        <v>46</v>
      </c>
      <c r="B48" s="95"/>
      <c r="C48" s="55" t="s">
        <v>20</v>
      </c>
      <c r="D48" s="55"/>
      <c r="E48" s="55">
        <v>13</v>
      </c>
      <c r="F48" s="55" t="s">
        <v>16</v>
      </c>
      <c r="G48" s="56">
        <v>1046</v>
      </c>
      <c r="H48" s="56">
        <f t="shared" si="11"/>
        <v>13598</v>
      </c>
      <c r="I48" s="56">
        <v>380</v>
      </c>
      <c r="J48" s="56">
        <f t="shared" si="12"/>
        <v>4940</v>
      </c>
      <c r="K48" s="56"/>
      <c r="L48" s="56"/>
      <c r="M48" s="57" t="s">
        <v>433</v>
      </c>
    </row>
    <row r="49" spans="1:13" ht="104.4" x14ac:dyDescent="0.25">
      <c r="A49" s="2">
        <f t="shared" si="10"/>
        <v>47</v>
      </c>
      <c r="B49" s="95"/>
      <c r="C49" s="55" t="s">
        <v>26</v>
      </c>
      <c r="D49" s="55"/>
      <c r="E49" s="55">
        <v>26</v>
      </c>
      <c r="F49" s="55" t="s">
        <v>16</v>
      </c>
      <c r="G49" s="56">
        <v>338</v>
      </c>
      <c r="H49" s="56">
        <f t="shared" si="11"/>
        <v>8788</v>
      </c>
      <c r="I49" s="56">
        <v>280</v>
      </c>
      <c r="J49" s="56">
        <f t="shared" si="12"/>
        <v>7280</v>
      </c>
      <c r="K49" s="56"/>
      <c r="L49" s="56"/>
      <c r="M49" s="66" t="s">
        <v>438</v>
      </c>
    </row>
    <row r="50" spans="1:13" ht="112.2" customHeight="1" x14ac:dyDescent="0.25">
      <c r="A50" s="2">
        <f t="shared" si="10"/>
        <v>48</v>
      </c>
      <c r="B50" s="95"/>
      <c r="C50" s="55" t="s">
        <v>31</v>
      </c>
      <c r="D50" s="55" t="s">
        <v>133</v>
      </c>
      <c r="E50" s="55">
        <v>13</v>
      </c>
      <c r="F50" s="55" t="s">
        <v>16</v>
      </c>
      <c r="G50" s="56">
        <v>1523</v>
      </c>
      <c r="H50" s="56">
        <f t="shared" si="11"/>
        <v>19799</v>
      </c>
      <c r="I50" s="56">
        <v>1600</v>
      </c>
      <c r="J50" s="56">
        <f t="shared" si="12"/>
        <v>20800</v>
      </c>
      <c r="K50" s="56"/>
      <c r="L50" s="56"/>
      <c r="M50" s="57" t="s">
        <v>434</v>
      </c>
    </row>
    <row r="51" spans="1:13" ht="87" x14ac:dyDescent="0.25">
      <c r="A51" s="2">
        <f t="shared" si="10"/>
        <v>49</v>
      </c>
      <c r="B51" s="95"/>
      <c r="C51" s="55" t="s">
        <v>323</v>
      </c>
      <c r="D51" s="55" t="s">
        <v>488</v>
      </c>
      <c r="E51" s="55">
        <v>13</v>
      </c>
      <c r="F51" s="55" t="s">
        <v>16</v>
      </c>
      <c r="G51" s="56">
        <v>2375</v>
      </c>
      <c r="H51" s="56">
        <f t="shared" si="11"/>
        <v>30875</v>
      </c>
      <c r="I51" s="56">
        <v>1710</v>
      </c>
      <c r="J51" s="56">
        <f t="shared" si="12"/>
        <v>22230</v>
      </c>
      <c r="K51" s="56"/>
      <c r="L51" s="56"/>
      <c r="M51" s="57" t="s">
        <v>140</v>
      </c>
    </row>
    <row r="52" spans="1:13" ht="69.599999999999994" x14ac:dyDescent="0.25">
      <c r="A52" s="2">
        <f t="shared" si="10"/>
        <v>50</v>
      </c>
      <c r="B52" s="95"/>
      <c r="C52" s="55" t="s">
        <v>54</v>
      </c>
      <c r="D52" s="55" t="s">
        <v>489</v>
      </c>
      <c r="E52" s="55">
        <v>13</v>
      </c>
      <c r="F52" s="55" t="s">
        <v>16</v>
      </c>
      <c r="G52" s="56">
        <v>750</v>
      </c>
      <c r="H52" s="56">
        <f t="shared" si="11"/>
        <v>9750</v>
      </c>
      <c r="I52" s="56">
        <v>520</v>
      </c>
      <c r="J52" s="56">
        <f t="shared" si="12"/>
        <v>6760</v>
      </c>
      <c r="K52" s="56"/>
      <c r="L52" s="56"/>
      <c r="M52" s="57" t="s">
        <v>435</v>
      </c>
    </row>
    <row r="53" spans="1:13" ht="30" customHeight="1" x14ac:dyDescent="0.25">
      <c r="A53" s="2"/>
      <c r="B53" s="55"/>
      <c r="C53" s="55"/>
      <c r="D53" s="55"/>
      <c r="E53" s="55"/>
      <c r="F53" s="55"/>
      <c r="G53" s="56"/>
      <c r="H53" s="61">
        <f>SUM(H47:H52)</f>
        <v>113945</v>
      </c>
      <c r="I53" s="62"/>
      <c r="J53" s="63">
        <f>SUM(J47:J52)</f>
        <v>83460</v>
      </c>
      <c r="K53" s="63"/>
      <c r="L53" s="63"/>
      <c r="M53" s="55"/>
    </row>
    <row r="54" spans="1:13" ht="104.4" x14ac:dyDescent="0.25">
      <c r="A54" s="2">
        <f>ROW()-2</f>
        <v>52</v>
      </c>
      <c r="B54" s="95" t="s">
        <v>329</v>
      </c>
      <c r="C54" s="55" t="s">
        <v>13</v>
      </c>
      <c r="D54" s="55" t="s">
        <v>490</v>
      </c>
      <c r="E54" s="55">
        <v>109</v>
      </c>
      <c r="F54" s="55" t="s">
        <v>152</v>
      </c>
      <c r="G54" s="56">
        <v>1372</v>
      </c>
      <c r="H54" s="56">
        <f>G54*E54</f>
        <v>149548</v>
      </c>
      <c r="I54" s="56">
        <v>1950</v>
      </c>
      <c r="J54" s="56">
        <f>I54*E54</f>
        <v>212550</v>
      </c>
      <c r="K54" s="56"/>
      <c r="L54" s="56"/>
      <c r="M54" s="57" t="s">
        <v>436</v>
      </c>
    </row>
    <row r="55" spans="1:13" ht="139.19999999999999" x14ac:dyDescent="0.25">
      <c r="A55" s="2">
        <f>ROW()-2</f>
        <v>53</v>
      </c>
      <c r="B55" s="95"/>
      <c r="C55" s="55" t="s">
        <v>20</v>
      </c>
      <c r="D55" s="55"/>
      <c r="E55" s="55">
        <v>109</v>
      </c>
      <c r="F55" s="55" t="s">
        <v>152</v>
      </c>
      <c r="G55" s="56">
        <v>550</v>
      </c>
      <c r="H55" s="56">
        <f>G55*E55</f>
        <v>59950</v>
      </c>
      <c r="I55" s="56">
        <v>298</v>
      </c>
      <c r="J55" s="56">
        <f>I55*E55</f>
        <v>32482</v>
      </c>
      <c r="K55" s="56"/>
      <c r="L55" s="56"/>
      <c r="M55" s="57" t="s">
        <v>437</v>
      </c>
    </row>
    <row r="56" spans="1:13" ht="30" customHeight="1" x14ac:dyDescent="0.25">
      <c r="A56" s="2"/>
      <c r="B56" s="55"/>
      <c r="C56" s="55"/>
      <c r="D56" s="55"/>
      <c r="E56" s="55"/>
      <c r="F56" s="55"/>
      <c r="G56" s="56"/>
      <c r="H56" s="61">
        <f>SUM(H54:H55)</f>
        <v>209498</v>
      </c>
      <c r="I56" s="62"/>
      <c r="J56" s="63">
        <f>SUM(J54:J55)</f>
        <v>245032</v>
      </c>
      <c r="K56" s="63"/>
      <c r="L56" s="63"/>
      <c r="M56" s="55"/>
    </row>
    <row r="57" spans="1:13" ht="17.399999999999999" x14ac:dyDescent="0.25">
      <c r="A57" s="2">
        <f>ROW()-2</f>
        <v>55</v>
      </c>
      <c r="B57" s="92" t="s">
        <v>330</v>
      </c>
      <c r="C57" s="55" t="s">
        <v>180</v>
      </c>
      <c r="D57" s="55" t="s">
        <v>491</v>
      </c>
      <c r="E57" s="55">
        <v>1</v>
      </c>
      <c r="F57" s="55" t="s">
        <v>156</v>
      </c>
      <c r="G57" s="56">
        <v>1250</v>
      </c>
      <c r="H57" s="56">
        <f>G57*E57</f>
        <v>1250</v>
      </c>
      <c r="I57" s="56">
        <v>680</v>
      </c>
      <c r="J57" s="56">
        <f>I57*E57</f>
        <v>680</v>
      </c>
      <c r="K57" s="56"/>
      <c r="L57" s="56"/>
      <c r="M57" s="57"/>
    </row>
    <row r="58" spans="1:13" ht="87" x14ac:dyDescent="0.25">
      <c r="A58" s="2">
        <f>ROW()-2</f>
        <v>56</v>
      </c>
      <c r="B58" s="92"/>
      <c r="C58" s="55" t="s">
        <v>33</v>
      </c>
      <c r="D58" s="55"/>
      <c r="E58" s="55">
        <v>147</v>
      </c>
      <c r="F58" s="55" t="s">
        <v>16</v>
      </c>
      <c r="G58" s="56">
        <v>435</v>
      </c>
      <c r="H58" s="56">
        <f>G58*E58</f>
        <v>63945</v>
      </c>
      <c r="I58" s="56">
        <v>195</v>
      </c>
      <c r="J58" s="56">
        <f>I58*E58</f>
        <v>28665</v>
      </c>
      <c r="K58" s="56"/>
      <c r="L58" s="56"/>
      <c r="M58" s="65" t="s">
        <v>439</v>
      </c>
    </row>
    <row r="59" spans="1:13" ht="30" customHeight="1" x14ac:dyDescent="0.25">
      <c r="A59" s="2"/>
      <c r="B59" s="58"/>
      <c r="C59" s="55"/>
      <c r="D59" s="55"/>
      <c r="E59" s="55"/>
      <c r="F59" s="55"/>
      <c r="G59" s="56"/>
      <c r="H59" s="61">
        <f>SUM(H57:H58)</f>
        <v>65195</v>
      </c>
      <c r="I59" s="62"/>
      <c r="J59" s="63">
        <f>SUM(J57:J58)</f>
        <v>29345</v>
      </c>
      <c r="K59" s="63"/>
      <c r="L59" s="63"/>
      <c r="M59" s="55"/>
    </row>
    <row r="60" spans="1:13" ht="69.599999999999994" x14ac:dyDescent="0.25">
      <c r="A60" s="2">
        <f>ROW()-2</f>
        <v>58</v>
      </c>
      <c r="B60" s="92" t="s">
        <v>331</v>
      </c>
      <c r="C60" s="55" t="s">
        <v>180</v>
      </c>
      <c r="D60" s="55" t="s">
        <v>493</v>
      </c>
      <c r="E60" s="55">
        <v>1</v>
      </c>
      <c r="F60" s="55" t="s">
        <v>16</v>
      </c>
      <c r="G60" s="56">
        <v>66660</v>
      </c>
      <c r="H60" s="56">
        <f>G60*E60</f>
        <v>66660</v>
      </c>
      <c r="I60" s="56">
        <v>36000</v>
      </c>
      <c r="J60" s="56">
        <f>I60*E60</f>
        <v>36000</v>
      </c>
      <c r="K60" s="56"/>
      <c r="L60" s="56"/>
      <c r="M60" s="57" t="s">
        <v>440</v>
      </c>
    </row>
    <row r="61" spans="1:13" ht="30" customHeight="1" x14ac:dyDescent="0.25">
      <c r="A61" s="2">
        <f>ROW()-2</f>
        <v>59</v>
      </c>
      <c r="B61" s="92"/>
      <c r="C61" s="55" t="s">
        <v>33</v>
      </c>
      <c r="D61" s="55"/>
      <c r="E61" s="55">
        <v>75</v>
      </c>
      <c r="F61" s="55" t="s">
        <v>16</v>
      </c>
      <c r="G61" s="56">
        <v>613</v>
      </c>
      <c r="H61" s="56">
        <f>G61*E61</f>
        <v>45975</v>
      </c>
      <c r="I61" s="56">
        <v>800</v>
      </c>
      <c r="J61" s="56">
        <f>I61*E61</f>
        <v>60000</v>
      </c>
      <c r="K61" s="56"/>
      <c r="L61" s="56"/>
      <c r="M61" s="67" t="s">
        <v>443</v>
      </c>
    </row>
    <row r="62" spans="1:13" ht="30" customHeight="1" x14ac:dyDescent="0.25">
      <c r="A62" s="2"/>
      <c r="B62" s="58"/>
      <c r="C62" s="55"/>
      <c r="D62" s="55"/>
      <c r="E62" s="55"/>
      <c r="F62" s="55"/>
      <c r="G62" s="56"/>
      <c r="H62" s="61">
        <f>SUM(H60:H61)</f>
        <v>112635</v>
      </c>
      <c r="I62" s="62"/>
      <c r="J62" s="63">
        <f>SUM(J60:J61)</f>
        <v>96000</v>
      </c>
      <c r="K62" s="63"/>
      <c r="L62" s="63"/>
      <c r="M62" s="55"/>
    </row>
    <row r="63" spans="1:13" ht="69.599999999999994" x14ac:dyDescent="0.25">
      <c r="A63" s="2">
        <f>ROW()-2</f>
        <v>61</v>
      </c>
      <c r="B63" s="92" t="s">
        <v>332</v>
      </c>
      <c r="C63" s="55" t="s">
        <v>180</v>
      </c>
      <c r="D63" s="55" t="s">
        <v>492</v>
      </c>
      <c r="E63" s="55">
        <v>3</v>
      </c>
      <c r="F63" s="55" t="s">
        <v>16</v>
      </c>
      <c r="G63" s="56">
        <v>16660</v>
      </c>
      <c r="H63" s="56">
        <f>G63*E63</f>
        <v>49980</v>
      </c>
      <c r="I63" s="56">
        <v>11980</v>
      </c>
      <c r="J63" s="56">
        <f>I63*E63</f>
        <v>35940</v>
      </c>
      <c r="K63" s="56"/>
      <c r="L63" s="56"/>
      <c r="M63" s="65" t="s">
        <v>441</v>
      </c>
    </row>
    <row r="64" spans="1:13" ht="30" customHeight="1" x14ac:dyDescent="0.25">
      <c r="A64" s="2">
        <f>ROW()-2</f>
        <v>62</v>
      </c>
      <c r="B64" s="92"/>
      <c r="C64" s="55" t="s">
        <v>33</v>
      </c>
      <c r="D64" s="55"/>
      <c r="E64" s="55">
        <v>54</v>
      </c>
      <c r="F64" s="55" t="s">
        <v>16</v>
      </c>
      <c r="G64" s="56">
        <v>1118</v>
      </c>
      <c r="H64" s="56">
        <f>G64*E64</f>
        <v>60372</v>
      </c>
      <c r="I64" s="56">
        <v>800</v>
      </c>
      <c r="J64" s="56">
        <f>I64*E64</f>
        <v>43200</v>
      </c>
      <c r="K64" s="56"/>
      <c r="L64" s="56"/>
      <c r="M64" s="67" t="s">
        <v>443</v>
      </c>
    </row>
    <row r="65" spans="1:13" ht="30" customHeight="1" x14ac:dyDescent="0.25">
      <c r="A65" s="2"/>
      <c r="B65" s="58"/>
      <c r="C65" s="55"/>
      <c r="D65" s="55"/>
      <c r="E65" s="55"/>
      <c r="F65" s="55"/>
      <c r="G65" s="56"/>
      <c r="H65" s="61">
        <f>SUM(H63:H64)</f>
        <v>110352</v>
      </c>
      <c r="I65" s="62"/>
      <c r="J65" s="63">
        <f>SUM(J63:J64)</f>
        <v>79140</v>
      </c>
      <c r="K65" s="63"/>
      <c r="L65" s="63"/>
      <c r="M65" s="55"/>
    </row>
    <row r="66" spans="1:13" ht="87" x14ac:dyDescent="0.25">
      <c r="A66" s="2">
        <f>ROW()-2</f>
        <v>64</v>
      </c>
      <c r="B66" s="92" t="s">
        <v>333</v>
      </c>
      <c r="C66" s="55" t="s">
        <v>180</v>
      </c>
      <c r="D66" s="55" t="s">
        <v>494</v>
      </c>
      <c r="E66" s="55">
        <v>6</v>
      </c>
      <c r="F66" s="55" t="s">
        <v>16</v>
      </c>
      <c r="G66" s="56">
        <v>2938</v>
      </c>
      <c r="H66" s="56">
        <f>G66*E66</f>
        <v>17628</v>
      </c>
      <c r="I66" s="56">
        <v>1400</v>
      </c>
      <c r="J66" s="56">
        <f>I66*E66</f>
        <v>8400</v>
      </c>
      <c r="K66" s="56"/>
      <c r="L66" s="56"/>
      <c r="M66" s="57" t="s">
        <v>442</v>
      </c>
    </row>
    <row r="67" spans="1:13" ht="30" customHeight="1" x14ac:dyDescent="0.25">
      <c r="A67" s="2">
        <f>ROW()-2</f>
        <v>65</v>
      </c>
      <c r="B67" s="92"/>
      <c r="C67" s="55" t="s">
        <v>33</v>
      </c>
      <c r="D67" s="55"/>
      <c r="E67" s="55">
        <v>60</v>
      </c>
      <c r="F67" s="55" t="s">
        <v>16</v>
      </c>
      <c r="G67" s="56">
        <v>338</v>
      </c>
      <c r="H67" s="56">
        <f>G67*E67</f>
        <v>20280</v>
      </c>
      <c r="I67" s="56">
        <v>280</v>
      </c>
      <c r="J67" s="56">
        <f>I67*E67</f>
        <v>16800</v>
      </c>
      <c r="K67" s="56"/>
      <c r="L67" s="56"/>
      <c r="M67" s="67" t="s">
        <v>443</v>
      </c>
    </row>
    <row r="68" spans="1:13" ht="30" customHeight="1" x14ac:dyDescent="0.25">
      <c r="A68" s="2"/>
      <c r="B68" s="58"/>
      <c r="C68" s="55"/>
      <c r="D68" s="55"/>
      <c r="E68" s="55"/>
      <c r="F68" s="55"/>
      <c r="G68" s="56"/>
      <c r="H68" s="61">
        <f>SUM(H66:H67)</f>
        <v>37908</v>
      </c>
      <c r="I68" s="62"/>
      <c r="J68" s="63">
        <f>SUM(J66:J67)</f>
        <v>25200</v>
      </c>
      <c r="K68" s="63"/>
      <c r="L68" s="63"/>
      <c r="M68" s="55"/>
    </row>
    <row r="69" spans="1:13" ht="69.599999999999994" x14ac:dyDescent="0.25">
      <c r="A69" s="2">
        <f>ROW()-2</f>
        <v>67</v>
      </c>
      <c r="B69" s="92" t="s">
        <v>334</v>
      </c>
      <c r="C69" s="55" t="s">
        <v>323</v>
      </c>
      <c r="D69" s="59" t="s">
        <v>221</v>
      </c>
      <c r="E69" s="55">
        <v>4</v>
      </c>
      <c r="F69" s="55" t="s">
        <v>16</v>
      </c>
      <c r="G69" s="56">
        <v>3335</v>
      </c>
      <c r="H69" s="68">
        <f>G69*E69</f>
        <v>13340</v>
      </c>
      <c r="I69" s="68">
        <v>2550</v>
      </c>
      <c r="J69" s="68">
        <f>I69*E69</f>
        <v>10200</v>
      </c>
      <c r="K69" s="68"/>
      <c r="L69" s="68"/>
      <c r="M69" s="57" t="s">
        <v>444</v>
      </c>
    </row>
    <row r="70" spans="1:13" ht="69.599999999999994" x14ac:dyDescent="0.25">
      <c r="A70" s="2">
        <f>ROW()-2</f>
        <v>68</v>
      </c>
      <c r="B70" s="92"/>
      <c r="C70" s="55" t="s">
        <v>324</v>
      </c>
      <c r="D70" s="59" t="s">
        <v>226</v>
      </c>
      <c r="E70" s="55">
        <v>4</v>
      </c>
      <c r="F70" s="55" t="s">
        <v>16</v>
      </c>
      <c r="G70" s="56">
        <v>2668</v>
      </c>
      <c r="H70" s="68">
        <f>G70*E70</f>
        <v>10672</v>
      </c>
      <c r="I70" s="56">
        <v>1980</v>
      </c>
      <c r="J70" s="68">
        <f>I70*E70</f>
        <v>7920</v>
      </c>
      <c r="K70" s="68"/>
      <c r="L70" s="68"/>
      <c r="M70" s="57" t="s">
        <v>444</v>
      </c>
    </row>
    <row r="71" spans="1:13" ht="104.4" x14ac:dyDescent="0.25">
      <c r="A71" s="2">
        <f>ROW()-2</f>
        <v>69</v>
      </c>
      <c r="B71" s="92"/>
      <c r="C71" s="55" t="s">
        <v>110</v>
      </c>
      <c r="D71" s="58" t="s">
        <v>495</v>
      </c>
      <c r="E71" s="55">
        <v>4</v>
      </c>
      <c r="F71" s="55" t="s">
        <v>16</v>
      </c>
      <c r="G71" s="56">
        <v>1485</v>
      </c>
      <c r="H71" s="68">
        <f>G71*E71</f>
        <v>5940</v>
      </c>
      <c r="I71" s="56">
        <v>1480</v>
      </c>
      <c r="J71" s="68">
        <f>I71*E71</f>
        <v>5920</v>
      </c>
      <c r="K71" s="68"/>
      <c r="L71" s="68"/>
      <c r="M71" s="57" t="s">
        <v>230</v>
      </c>
    </row>
    <row r="72" spans="1:13" ht="30" customHeight="1" x14ac:dyDescent="0.25">
      <c r="A72" s="2">
        <f>ROW()-2</f>
        <v>70</v>
      </c>
      <c r="B72" s="92"/>
      <c r="C72" s="55" t="s">
        <v>54</v>
      </c>
      <c r="D72" s="59" t="s">
        <v>232</v>
      </c>
      <c r="E72" s="55">
        <v>4</v>
      </c>
      <c r="F72" s="55" t="s">
        <v>16</v>
      </c>
      <c r="G72" s="56">
        <v>1698</v>
      </c>
      <c r="H72" s="68">
        <f>G72*E72</f>
        <v>6792</v>
      </c>
      <c r="I72" s="56">
        <v>1450</v>
      </c>
      <c r="J72" s="68">
        <f>I72*E72</f>
        <v>5800</v>
      </c>
      <c r="K72" s="68"/>
      <c r="L72" s="68"/>
      <c r="M72" s="57" t="s">
        <v>233</v>
      </c>
    </row>
    <row r="73" spans="1:13" ht="34.799999999999997" x14ac:dyDescent="0.25">
      <c r="A73" s="2">
        <f>ROW()-2</f>
        <v>71</v>
      </c>
      <c r="B73" s="92"/>
      <c r="C73" s="55" t="s">
        <v>61</v>
      </c>
      <c r="D73" s="59" t="s">
        <v>237</v>
      </c>
      <c r="E73" s="55">
        <v>4</v>
      </c>
      <c r="F73" s="55" t="s">
        <v>16</v>
      </c>
      <c r="G73" s="56">
        <v>1370</v>
      </c>
      <c r="H73" s="68">
        <f>G73*E73</f>
        <v>5480</v>
      </c>
      <c r="I73" s="56">
        <v>700</v>
      </c>
      <c r="J73" s="68">
        <f>I73*E73</f>
        <v>2800</v>
      </c>
      <c r="K73" s="68"/>
      <c r="L73" s="68"/>
      <c r="M73" s="57" t="s">
        <v>238</v>
      </c>
    </row>
    <row r="74" spans="1:13" ht="30" customHeight="1" x14ac:dyDescent="0.25">
      <c r="A74" s="2"/>
      <c r="B74" s="55"/>
      <c r="C74" s="55"/>
      <c r="D74" s="55"/>
      <c r="E74" s="55"/>
      <c r="F74" s="55"/>
      <c r="G74" s="56"/>
      <c r="H74" s="61">
        <f>SUM(H69:H73)</f>
        <v>42224</v>
      </c>
      <c r="I74" s="62"/>
      <c r="J74" s="63">
        <f>SUM(J69:J73)</f>
        <v>32640</v>
      </c>
      <c r="K74" s="63"/>
      <c r="L74" s="63"/>
      <c r="M74" s="55"/>
    </row>
    <row r="75" spans="1:13" ht="36" customHeight="1" x14ac:dyDescent="0.25">
      <c r="A75" s="2">
        <f t="shared" ref="A75:A81" si="13">ROW()-2</f>
        <v>73</v>
      </c>
      <c r="B75" s="95" t="s">
        <v>335</v>
      </c>
      <c r="C75" s="55" t="s">
        <v>323</v>
      </c>
      <c r="D75" s="55" t="s">
        <v>496</v>
      </c>
      <c r="E75" s="55">
        <v>4</v>
      </c>
      <c r="F75" s="55" t="s">
        <v>16</v>
      </c>
      <c r="G75" s="56">
        <v>3260</v>
      </c>
      <c r="H75" s="68">
        <f>G75*E75</f>
        <v>13040</v>
      </c>
      <c r="I75" s="68">
        <v>2000</v>
      </c>
      <c r="J75" s="68">
        <f>I75*E75</f>
        <v>8000</v>
      </c>
      <c r="K75" s="68"/>
      <c r="L75" s="68"/>
      <c r="M75" s="102" t="s">
        <v>445</v>
      </c>
    </row>
    <row r="76" spans="1:13" ht="38.4" customHeight="1" x14ac:dyDescent="0.25">
      <c r="A76" s="2">
        <f t="shared" si="13"/>
        <v>74</v>
      </c>
      <c r="B76" s="95"/>
      <c r="C76" s="55" t="s">
        <v>110</v>
      </c>
      <c r="D76" s="55"/>
      <c r="E76" s="55">
        <v>10</v>
      </c>
      <c r="F76" s="55" t="s">
        <v>16</v>
      </c>
      <c r="G76" s="56">
        <v>1793</v>
      </c>
      <c r="H76" s="68">
        <f t="shared" ref="H76:H81" si="14">G76*E76</f>
        <v>17930</v>
      </c>
      <c r="I76" s="56">
        <v>1200</v>
      </c>
      <c r="J76" s="68">
        <f t="shared" ref="J76:J81" si="15">I76*E76</f>
        <v>12000</v>
      </c>
      <c r="K76" s="68"/>
      <c r="L76" s="68"/>
      <c r="M76" s="103"/>
    </row>
    <row r="77" spans="1:13" ht="45" customHeight="1" x14ac:dyDescent="0.25">
      <c r="A77" s="2">
        <f t="shared" si="13"/>
        <v>75</v>
      </c>
      <c r="B77" s="95"/>
      <c r="C77" s="55" t="s">
        <v>54</v>
      </c>
      <c r="D77" s="55" t="s">
        <v>489</v>
      </c>
      <c r="E77" s="55">
        <v>4</v>
      </c>
      <c r="F77" s="55" t="s">
        <v>16</v>
      </c>
      <c r="G77" s="56">
        <v>926</v>
      </c>
      <c r="H77" s="68">
        <f t="shared" si="14"/>
        <v>3704</v>
      </c>
      <c r="I77" s="56">
        <v>1410</v>
      </c>
      <c r="J77" s="68">
        <f t="shared" si="15"/>
        <v>5640</v>
      </c>
      <c r="K77" s="68"/>
      <c r="L77" s="68"/>
      <c r="M77" s="65" t="s">
        <v>446</v>
      </c>
    </row>
    <row r="78" spans="1:13" ht="69.599999999999994" x14ac:dyDescent="0.25">
      <c r="A78" s="2">
        <f t="shared" si="13"/>
        <v>76</v>
      </c>
      <c r="B78" s="95"/>
      <c r="C78" s="55" t="s">
        <v>285</v>
      </c>
      <c r="D78" s="58" t="s">
        <v>497</v>
      </c>
      <c r="E78" s="55">
        <v>1</v>
      </c>
      <c r="F78" s="55" t="s">
        <v>16</v>
      </c>
      <c r="G78" s="56">
        <v>10835</v>
      </c>
      <c r="H78" s="68">
        <f t="shared" si="14"/>
        <v>10835</v>
      </c>
      <c r="I78" s="56" t="s">
        <v>321</v>
      </c>
      <c r="J78" s="68" t="s">
        <v>321</v>
      </c>
      <c r="K78" s="68"/>
      <c r="L78" s="68"/>
      <c r="M78" s="57" t="s">
        <v>447</v>
      </c>
    </row>
    <row r="79" spans="1:13" ht="139.19999999999999" x14ac:dyDescent="0.25">
      <c r="A79" s="2">
        <f t="shared" si="13"/>
        <v>77</v>
      </c>
      <c r="B79" s="95"/>
      <c r="C79" s="55" t="s">
        <v>336</v>
      </c>
      <c r="D79" s="55" t="s">
        <v>478</v>
      </c>
      <c r="E79" s="55">
        <v>1</v>
      </c>
      <c r="F79" s="55" t="s">
        <v>16</v>
      </c>
      <c r="G79" s="56" t="s">
        <v>321</v>
      </c>
      <c r="H79" s="68" t="s">
        <v>321</v>
      </c>
      <c r="I79" s="56">
        <v>2500</v>
      </c>
      <c r="J79" s="68">
        <f t="shared" si="15"/>
        <v>2500</v>
      </c>
      <c r="K79" s="68"/>
      <c r="L79" s="68"/>
      <c r="M79" s="65" t="s">
        <v>448</v>
      </c>
    </row>
    <row r="80" spans="1:13" ht="69.599999999999994" x14ac:dyDescent="0.25">
      <c r="A80" s="2">
        <f t="shared" si="13"/>
        <v>78</v>
      </c>
      <c r="B80" s="95"/>
      <c r="C80" s="55" t="s">
        <v>337</v>
      </c>
      <c r="D80" s="69" t="s">
        <v>499</v>
      </c>
      <c r="E80" s="55">
        <v>3</v>
      </c>
      <c r="F80" s="55" t="s">
        <v>16</v>
      </c>
      <c r="G80" s="56">
        <v>717</v>
      </c>
      <c r="H80" s="68">
        <f t="shared" si="14"/>
        <v>2151</v>
      </c>
      <c r="I80" s="56">
        <v>850</v>
      </c>
      <c r="J80" s="68">
        <f t="shared" si="15"/>
        <v>2550</v>
      </c>
      <c r="K80" s="68"/>
      <c r="L80" s="68"/>
      <c r="M80" s="65" t="s">
        <v>449</v>
      </c>
    </row>
    <row r="81" spans="1:13" ht="104.4" x14ac:dyDescent="0.25">
      <c r="A81" s="2">
        <f t="shared" si="13"/>
        <v>79</v>
      </c>
      <c r="B81" s="95"/>
      <c r="C81" s="55" t="s">
        <v>273</v>
      </c>
      <c r="D81" s="55"/>
      <c r="E81" s="55">
        <v>9</v>
      </c>
      <c r="F81" s="55" t="s">
        <v>16</v>
      </c>
      <c r="G81" s="56">
        <v>535</v>
      </c>
      <c r="H81" s="68">
        <f t="shared" si="14"/>
        <v>4815</v>
      </c>
      <c r="I81" s="56">
        <v>980</v>
      </c>
      <c r="J81" s="68">
        <f t="shared" si="15"/>
        <v>8820</v>
      </c>
      <c r="K81" s="68"/>
      <c r="L81" s="68"/>
      <c r="M81" s="57" t="s">
        <v>450</v>
      </c>
    </row>
    <row r="82" spans="1:13" ht="30" customHeight="1" x14ac:dyDescent="0.25">
      <c r="A82" s="2"/>
      <c r="B82" s="55"/>
      <c r="C82" s="55"/>
      <c r="D82" s="55"/>
      <c r="E82" s="55"/>
      <c r="F82" s="55"/>
      <c r="G82" s="56"/>
      <c r="H82" s="61">
        <f>SUM(H75:H81)</f>
        <v>52475</v>
      </c>
      <c r="I82" s="62"/>
      <c r="J82" s="63">
        <f>SUM(J75:J81)</f>
        <v>39510</v>
      </c>
      <c r="K82" s="63"/>
      <c r="L82" s="63"/>
      <c r="M82" s="55"/>
    </row>
    <row r="83" spans="1:13" ht="52.2" x14ac:dyDescent="0.25">
      <c r="A83" s="2">
        <f>ROW()-2</f>
        <v>81</v>
      </c>
      <c r="B83" s="95" t="s">
        <v>338</v>
      </c>
      <c r="C83" s="55" t="s">
        <v>260</v>
      </c>
      <c r="D83" s="55"/>
      <c r="E83" s="55">
        <v>14</v>
      </c>
      <c r="F83" s="55" t="s">
        <v>16</v>
      </c>
      <c r="G83" s="56">
        <v>480</v>
      </c>
      <c r="H83" s="56">
        <f>G83*E83</f>
        <v>6720</v>
      </c>
      <c r="I83" s="56">
        <v>450</v>
      </c>
      <c r="J83" s="56">
        <f>I83*E83</f>
        <v>6300</v>
      </c>
      <c r="K83" s="56"/>
      <c r="L83" s="56"/>
      <c r="M83" s="57" t="s">
        <v>261</v>
      </c>
    </row>
    <row r="84" spans="1:13" ht="69.599999999999994" x14ac:dyDescent="0.25">
      <c r="A84" s="2">
        <f>ROW()-2</f>
        <v>82</v>
      </c>
      <c r="B84" s="95"/>
      <c r="C84" s="55" t="s">
        <v>337</v>
      </c>
      <c r="D84" s="55"/>
      <c r="E84" s="55">
        <v>4</v>
      </c>
      <c r="F84" s="55" t="s">
        <v>16</v>
      </c>
      <c r="G84" s="56">
        <v>717</v>
      </c>
      <c r="H84" s="56">
        <f>G84*E84</f>
        <v>2868</v>
      </c>
      <c r="I84" s="56">
        <v>1950</v>
      </c>
      <c r="J84" s="56">
        <f>I84*E84</f>
        <v>7800</v>
      </c>
      <c r="K84" s="56"/>
      <c r="L84" s="56"/>
      <c r="M84" s="57" t="s">
        <v>451</v>
      </c>
    </row>
    <row r="85" spans="1:13" ht="104.4" x14ac:dyDescent="0.25">
      <c r="A85" s="2">
        <f>ROW()-2</f>
        <v>83</v>
      </c>
      <c r="B85" s="95"/>
      <c r="C85" s="55" t="s">
        <v>339</v>
      </c>
      <c r="D85" s="55"/>
      <c r="E85" s="55">
        <v>4</v>
      </c>
      <c r="F85" s="55" t="s">
        <v>16</v>
      </c>
      <c r="G85" s="56">
        <v>795</v>
      </c>
      <c r="H85" s="56">
        <f>G85*E85</f>
        <v>3180</v>
      </c>
      <c r="I85" s="56">
        <v>1800</v>
      </c>
      <c r="J85" s="56">
        <f>I85*E85</f>
        <v>7200</v>
      </c>
      <c r="K85" s="56"/>
      <c r="L85" s="56"/>
      <c r="M85" s="57" t="s">
        <v>452</v>
      </c>
    </row>
    <row r="86" spans="1:13" ht="104.4" x14ac:dyDescent="0.25">
      <c r="A86" s="2">
        <f>ROW()-2</f>
        <v>84</v>
      </c>
      <c r="B86" s="95"/>
      <c r="C86" s="55" t="s">
        <v>273</v>
      </c>
      <c r="D86" s="55"/>
      <c r="E86" s="55">
        <v>32</v>
      </c>
      <c r="F86" s="55" t="s">
        <v>16</v>
      </c>
      <c r="G86" s="56">
        <v>148</v>
      </c>
      <c r="H86" s="56">
        <f>G86*E86</f>
        <v>4736</v>
      </c>
      <c r="I86" s="56">
        <v>780</v>
      </c>
      <c r="J86" s="56">
        <f>I86*E86</f>
        <v>24960</v>
      </c>
      <c r="K86" s="56"/>
      <c r="L86" s="56"/>
      <c r="M86" s="57" t="s">
        <v>450</v>
      </c>
    </row>
    <row r="87" spans="1:13" ht="30" customHeight="1" x14ac:dyDescent="0.25">
      <c r="A87" s="2"/>
      <c r="B87" s="70"/>
      <c r="C87" s="55"/>
      <c r="D87" s="55"/>
      <c r="E87" s="55"/>
      <c r="F87" s="55"/>
      <c r="G87" s="56"/>
      <c r="H87" s="56"/>
      <c r="I87" s="56"/>
      <c r="J87" s="56"/>
      <c r="K87" s="56"/>
      <c r="L87" s="56"/>
      <c r="M87" s="55"/>
    </row>
    <row r="88" spans="1:13" ht="30" customHeight="1" x14ac:dyDescent="0.25">
      <c r="A88" s="42">
        <f>ROW()-2</f>
        <v>86</v>
      </c>
      <c r="B88" s="71" t="s">
        <v>379</v>
      </c>
      <c r="C88" s="55" t="s">
        <v>359</v>
      </c>
      <c r="D88" s="55"/>
      <c r="E88" s="72">
        <v>128</v>
      </c>
      <c r="F88" s="55" t="s">
        <v>16</v>
      </c>
      <c r="G88" s="72" t="s">
        <v>16</v>
      </c>
      <c r="H88" s="72"/>
      <c r="I88" s="72"/>
      <c r="J88" s="72"/>
      <c r="K88" s="63"/>
      <c r="L88" s="63"/>
      <c r="M88" s="67" t="s">
        <v>406</v>
      </c>
    </row>
    <row r="89" spans="1:13" ht="30" customHeight="1" x14ac:dyDescent="0.25">
      <c r="A89" s="42">
        <f>ROW()-2</f>
        <v>87</v>
      </c>
      <c r="B89" s="73"/>
      <c r="C89" s="55" t="s">
        <v>365</v>
      </c>
      <c r="D89" s="55"/>
      <c r="E89" s="72">
        <v>90</v>
      </c>
      <c r="F89" s="55" t="s">
        <v>16</v>
      </c>
      <c r="G89" s="72" t="s">
        <v>16</v>
      </c>
      <c r="H89" s="72"/>
      <c r="I89" s="72"/>
      <c r="J89" s="72"/>
      <c r="K89" s="62"/>
      <c r="L89" s="62"/>
      <c r="M89" s="65" t="s">
        <v>406</v>
      </c>
    </row>
    <row r="90" spans="1:13" ht="30" customHeight="1" x14ac:dyDescent="0.25">
      <c r="A90" s="42">
        <f t="shared" ref="A90:A99" si="16">ROW()-2</f>
        <v>88</v>
      </c>
      <c r="B90" s="73"/>
      <c r="C90" s="55" t="s">
        <v>367</v>
      </c>
      <c r="D90" s="55"/>
      <c r="E90" s="72">
        <v>88</v>
      </c>
      <c r="F90" s="55" t="s">
        <v>16</v>
      </c>
      <c r="G90" s="72" t="s">
        <v>16</v>
      </c>
      <c r="H90" s="72"/>
      <c r="I90" s="72"/>
      <c r="J90" s="72"/>
      <c r="K90" s="55"/>
      <c r="L90" s="55"/>
      <c r="M90" s="65" t="s">
        <v>453</v>
      </c>
    </row>
    <row r="91" spans="1:13" ht="17.399999999999999" x14ac:dyDescent="0.25">
      <c r="A91" s="42">
        <f t="shared" si="16"/>
        <v>89</v>
      </c>
      <c r="B91" s="73"/>
      <c r="C91" s="55" t="s">
        <v>54</v>
      </c>
      <c r="D91" s="55" t="s">
        <v>466</v>
      </c>
      <c r="E91" s="72">
        <v>15</v>
      </c>
      <c r="F91" s="55" t="s">
        <v>16</v>
      </c>
      <c r="G91" s="72" t="s">
        <v>16</v>
      </c>
      <c r="H91" s="72"/>
      <c r="I91" s="72"/>
      <c r="J91" s="72"/>
      <c r="K91" s="55"/>
      <c r="L91" s="55"/>
      <c r="M91" s="57" t="s">
        <v>295</v>
      </c>
    </row>
    <row r="92" spans="1:13" ht="17.399999999999999" x14ac:dyDescent="0.25">
      <c r="A92" s="42">
        <f t="shared" si="16"/>
        <v>90</v>
      </c>
      <c r="B92" s="73"/>
      <c r="C92" s="55" t="s">
        <v>71</v>
      </c>
      <c r="D92" s="55" t="s">
        <v>454</v>
      </c>
      <c r="E92" s="72">
        <v>256</v>
      </c>
      <c r="F92" s="55" t="s">
        <v>16</v>
      </c>
      <c r="G92" s="72" t="s">
        <v>16</v>
      </c>
      <c r="H92" s="72"/>
      <c r="I92" s="72"/>
      <c r="J92" s="72"/>
      <c r="K92" s="55"/>
      <c r="L92" s="55"/>
      <c r="M92" s="65" t="s">
        <v>456</v>
      </c>
    </row>
    <row r="93" spans="1:13" ht="17.399999999999999" x14ac:dyDescent="0.25">
      <c r="A93" s="42">
        <f t="shared" si="16"/>
        <v>91</v>
      </c>
      <c r="B93" s="73"/>
      <c r="C93" s="55" t="s">
        <v>71</v>
      </c>
      <c r="D93" s="55" t="s">
        <v>455</v>
      </c>
      <c r="E93" s="72">
        <v>90</v>
      </c>
      <c r="F93" s="55" t="s">
        <v>16</v>
      </c>
      <c r="G93" s="72" t="s">
        <v>80</v>
      </c>
      <c r="H93" s="72"/>
      <c r="I93" s="72"/>
      <c r="J93" s="72"/>
      <c r="K93" s="55"/>
      <c r="L93" s="55"/>
      <c r="M93" s="93" t="s">
        <v>457</v>
      </c>
    </row>
    <row r="94" spans="1:13" ht="17.399999999999999" x14ac:dyDescent="0.25">
      <c r="A94" s="42">
        <f t="shared" si="16"/>
        <v>92</v>
      </c>
      <c r="B94" s="73"/>
      <c r="C94" s="55" t="s">
        <v>71</v>
      </c>
      <c r="D94" s="55" t="s">
        <v>64</v>
      </c>
      <c r="E94" s="72">
        <v>88</v>
      </c>
      <c r="F94" s="55" t="s">
        <v>16</v>
      </c>
      <c r="G94" s="72" t="s">
        <v>16</v>
      </c>
      <c r="H94" s="72"/>
      <c r="I94" s="72"/>
      <c r="J94" s="72"/>
      <c r="K94" s="55"/>
      <c r="L94" s="55"/>
      <c r="M94" s="93"/>
    </row>
    <row r="95" spans="1:13" ht="17.399999999999999" x14ac:dyDescent="0.25">
      <c r="A95" s="42">
        <f t="shared" si="16"/>
        <v>93</v>
      </c>
      <c r="B95" s="73"/>
      <c r="C95" s="55" t="s">
        <v>77</v>
      </c>
      <c r="D95" s="55" t="s">
        <v>462</v>
      </c>
      <c r="E95" s="72">
        <v>299</v>
      </c>
      <c r="F95" s="55" t="s">
        <v>80</v>
      </c>
      <c r="G95" s="72" t="s">
        <v>16</v>
      </c>
      <c r="H95" s="72"/>
      <c r="I95" s="72"/>
      <c r="J95" s="72"/>
      <c r="K95" s="55"/>
      <c r="L95" s="55"/>
      <c r="M95" s="67" t="s">
        <v>467</v>
      </c>
    </row>
    <row r="96" spans="1:13" ht="17.399999999999999" x14ac:dyDescent="0.25">
      <c r="A96" s="42">
        <f t="shared" si="16"/>
        <v>94</v>
      </c>
      <c r="B96" s="73"/>
      <c r="C96" s="55" t="s">
        <v>42</v>
      </c>
      <c r="D96" s="55" t="s">
        <v>463</v>
      </c>
      <c r="E96" s="72">
        <v>15</v>
      </c>
      <c r="F96" s="55" t="s">
        <v>16</v>
      </c>
      <c r="G96" s="72" t="s">
        <v>16</v>
      </c>
      <c r="H96" s="72"/>
      <c r="I96" s="72"/>
      <c r="J96" s="72" t="s">
        <v>378</v>
      </c>
      <c r="K96" s="55"/>
      <c r="L96" s="55"/>
      <c r="M96" s="67" t="s">
        <v>501</v>
      </c>
    </row>
    <row r="97" spans="1:13" ht="17.399999999999999" x14ac:dyDescent="0.25">
      <c r="A97" s="42">
        <f t="shared" si="16"/>
        <v>95</v>
      </c>
      <c r="B97" s="73"/>
      <c r="C97" s="55" t="s">
        <v>376</v>
      </c>
      <c r="D97" s="55" t="s">
        <v>464</v>
      </c>
      <c r="E97" s="72">
        <v>21</v>
      </c>
      <c r="F97" s="55" t="s">
        <v>16</v>
      </c>
      <c r="G97" s="72" t="s">
        <v>16</v>
      </c>
      <c r="H97" s="72"/>
      <c r="I97" s="72"/>
      <c r="J97" s="72"/>
      <c r="K97" s="55"/>
      <c r="L97" s="55"/>
      <c r="M97" s="67" t="s">
        <v>388</v>
      </c>
    </row>
    <row r="98" spans="1:13" ht="34.799999999999997" x14ac:dyDescent="0.25">
      <c r="A98" s="42">
        <f t="shared" si="16"/>
        <v>96</v>
      </c>
      <c r="B98" s="73"/>
      <c r="C98" s="55" t="s">
        <v>377</v>
      </c>
      <c r="D98" s="55" t="s">
        <v>465</v>
      </c>
      <c r="E98" s="72">
        <v>21</v>
      </c>
      <c r="F98" s="55" t="s">
        <v>16</v>
      </c>
      <c r="G98" s="72" t="s">
        <v>16</v>
      </c>
      <c r="H98" s="72"/>
      <c r="I98" s="72"/>
      <c r="J98" s="72"/>
      <c r="K98" s="55"/>
      <c r="L98" s="55"/>
      <c r="M98" s="65" t="s">
        <v>468</v>
      </c>
    </row>
    <row r="99" spans="1:13" ht="17.399999999999999" x14ac:dyDescent="0.25">
      <c r="A99" s="42">
        <f t="shared" si="16"/>
        <v>97</v>
      </c>
      <c r="B99" s="73"/>
      <c r="C99" s="55" t="s">
        <v>67</v>
      </c>
      <c r="D99" s="55" t="s">
        <v>459</v>
      </c>
      <c r="E99" s="72">
        <v>256</v>
      </c>
      <c r="F99" s="55" t="s">
        <v>16</v>
      </c>
      <c r="G99" s="72" t="s">
        <v>16</v>
      </c>
      <c r="H99" s="72"/>
      <c r="I99" s="72"/>
      <c r="J99" s="72"/>
      <c r="K99" s="55"/>
      <c r="L99" s="55"/>
      <c r="M99" s="67" t="s">
        <v>467</v>
      </c>
    </row>
    <row r="100" spans="1:13" ht="17.399999999999999" x14ac:dyDescent="0.25">
      <c r="A100" s="42"/>
      <c r="B100" s="73"/>
      <c r="C100" s="55" t="s">
        <v>67</v>
      </c>
      <c r="D100" s="55" t="s">
        <v>460</v>
      </c>
      <c r="E100" s="72">
        <v>178</v>
      </c>
      <c r="F100" s="55" t="s">
        <v>16</v>
      </c>
      <c r="G100" s="72"/>
      <c r="H100" s="72"/>
      <c r="I100" s="72"/>
      <c r="J100" s="72"/>
      <c r="K100" s="55"/>
      <c r="L100" s="55"/>
      <c r="M100" s="67" t="s">
        <v>467</v>
      </c>
    </row>
    <row r="101" spans="1:13" ht="30" customHeight="1" x14ac:dyDescent="0.25">
      <c r="A101" s="42"/>
      <c r="B101" s="73"/>
      <c r="C101" s="55" t="s">
        <v>33</v>
      </c>
      <c r="D101" s="55" t="s">
        <v>461</v>
      </c>
      <c r="E101" s="72">
        <v>438</v>
      </c>
      <c r="F101" s="55" t="s">
        <v>16</v>
      </c>
      <c r="G101" s="72"/>
      <c r="H101" s="72"/>
      <c r="I101" s="72"/>
      <c r="J101" s="72"/>
      <c r="K101" s="55"/>
      <c r="L101" s="55"/>
      <c r="M101" s="67" t="s">
        <v>500</v>
      </c>
    </row>
    <row r="102" spans="1:13" ht="30" customHeight="1" x14ac:dyDescent="0.25">
      <c r="A102" s="42"/>
      <c r="B102" s="73"/>
      <c r="C102" s="55" t="s">
        <v>270</v>
      </c>
      <c r="D102" s="55" t="s">
        <v>458</v>
      </c>
      <c r="E102" s="72">
        <v>256</v>
      </c>
      <c r="F102" s="55" t="s">
        <v>16</v>
      </c>
      <c r="G102" s="72"/>
      <c r="H102" s="72"/>
      <c r="I102" s="72"/>
      <c r="J102" s="72"/>
      <c r="K102" s="55"/>
      <c r="L102" s="55"/>
      <c r="M102" s="67" t="s">
        <v>391</v>
      </c>
    </row>
    <row r="103" spans="1:13" ht="30" customHeight="1" x14ac:dyDescent="0.25">
      <c r="A103" s="42"/>
      <c r="B103" s="73"/>
      <c r="C103" s="70" t="s">
        <v>469</v>
      </c>
      <c r="D103" s="70" t="s">
        <v>470</v>
      </c>
      <c r="E103" s="71">
        <v>182</v>
      </c>
      <c r="F103" s="70" t="s">
        <v>16</v>
      </c>
      <c r="G103" s="71"/>
      <c r="H103" s="71"/>
      <c r="I103" s="71"/>
      <c r="J103" s="71"/>
      <c r="K103" s="70"/>
      <c r="L103" s="70"/>
      <c r="M103" s="74" t="s">
        <v>391</v>
      </c>
    </row>
    <row r="104" spans="1:13" ht="30" customHeight="1" x14ac:dyDescent="0.25">
      <c r="A104" s="42"/>
      <c r="B104" s="67" t="s">
        <v>471</v>
      </c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</row>
  </sheetData>
  <autoFilter ref="A2:M104" xr:uid="{00000000-0009-0000-0000-000001000000}"/>
  <mergeCells count="19">
    <mergeCell ref="A1:M1"/>
    <mergeCell ref="B3:B17"/>
    <mergeCell ref="B19:B34"/>
    <mergeCell ref="B36:B45"/>
    <mergeCell ref="B47:B52"/>
    <mergeCell ref="M44:M45"/>
    <mergeCell ref="M10:M11"/>
    <mergeCell ref="M26:M27"/>
    <mergeCell ref="M41:M42"/>
    <mergeCell ref="M75:M76"/>
    <mergeCell ref="B69:B73"/>
    <mergeCell ref="B75:B81"/>
    <mergeCell ref="B83:B86"/>
    <mergeCell ref="B54:B55"/>
    <mergeCell ref="B57:B58"/>
    <mergeCell ref="B60:B61"/>
    <mergeCell ref="B63:B64"/>
    <mergeCell ref="B66:B67"/>
    <mergeCell ref="M93:M94"/>
  </mergeCells>
  <phoneticPr fontId="17" type="noConversion"/>
  <pageMargins left="0.75138888888888899" right="0.75138888888888899" top="1" bottom="1" header="0.5" footer="0.5"/>
  <pageSetup paperSize="9" scale="64" orientation="portrait" r:id="rId1"/>
  <rowBreaks count="2" manualBreakCount="2">
    <brk id="35" max="16383" man="1"/>
    <brk id="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3"/>
  <sheetViews>
    <sheetView zoomScale="90" zoomScaleNormal="90" workbookViewId="0">
      <pane ySplit="2" topLeftCell="A105" activePane="bottomLeft" state="frozen"/>
      <selection pane="bottomLeft" activeCell="C96" sqref="C96"/>
    </sheetView>
  </sheetViews>
  <sheetFormatPr defaultColWidth="15.6640625" defaultRowHeight="100.05" customHeight="1" x14ac:dyDescent="0.25"/>
  <cols>
    <col min="1" max="1" width="4.88671875" style="4" customWidth="1"/>
    <col min="2" max="2" width="9.33203125" style="4" customWidth="1"/>
    <col min="3" max="3" width="14.88671875" style="4" customWidth="1"/>
    <col min="4" max="4" width="15.6640625" style="4" customWidth="1"/>
    <col min="5" max="5" width="24.44140625" style="5" customWidth="1"/>
    <col min="6" max="6" width="15.6640625" style="4" customWidth="1"/>
    <col min="7" max="7" width="4.88671875" style="4" customWidth="1"/>
    <col min="8" max="10" width="15.6640625" style="4" customWidth="1"/>
    <col min="11" max="11" width="37.21875" style="5" customWidth="1"/>
    <col min="12" max="12" width="14.6640625" style="4" customWidth="1"/>
    <col min="13" max="16369" width="15.6640625" style="4" customWidth="1"/>
    <col min="16370" max="16384" width="15.6640625" style="4"/>
  </cols>
  <sheetData>
    <row r="1" spans="1:12" ht="30" customHeight="1" x14ac:dyDescent="0.25">
      <c r="A1" s="89" t="s">
        <v>340</v>
      </c>
      <c r="B1" s="90"/>
      <c r="C1" s="90"/>
      <c r="D1" s="90"/>
      <c r="E1" s="118"/>
      <c r="F1" s="91"/>
      <c r="G1" s="89" t="s">
        <v>341</v>
      </c>
      <c r="H1" s="90"/>
      <c r="I1" s="90"/>
      <c r="J1" s="90"/>
      <c r="K1" s="118"/>
      <c r="L1" s="91"/>
    </row>
    <row r="2" spans="1:12" ht="30" customHeight="1" x14ac:dyDescent="0.25">
      <c r="A2" s="6" t="s">
        <v>2</v>
      </c>
      <c r="B2" s="6" t="s">
        <v>3</v>
      </c>
      <c r="C2" s="6" t="s">
        <v>4</v>
      </c>
      <c r="D2" s="6" t="s">
        <v>5</v>
      </c>
      <c r="E2" s="7" t="s">
        <v>6</v>
      </c>
      <c r="F2" s="8" t="s">
        <v>11</v>
      </c>
      <c r="G2" s="6" t="s">
        <v>2</v>
      </c>
      <c r="H2" s="6" t="s">
        <v>3</v>
      </c>
      <c r="I2" s="6" t="s">
        <v>4</v>
      </c>
      <c r="J2" s="6" t="s">
        <v>5</v>
      </c>
      <c r="K2" s="7" t="s">
        <v>6</v>
      </c>
      <c r="L2" s="8" t="s">
        <v>11</v>
      </c>
    </row>
    <row r="3" spans="1:12" ht="19.95" customHeight="1" x14ac:dyDescent="0.25">
      <c r="A3" s="86" t="s">
        <v>12</v>
      </c>
      <c r="B3" s="84"/>
      <c r="C3" s="84"/>
      <c r="D3" s="84"/>
      <c r="E3" s="108"/>
      <c r="F3" s="84"/>
      <c r="G3" s="83" t="s">
        <v>12</v>
      </c>
      <c r="H3" s="84"/>
      <c r="I3" s="84"/>
      <c r="J3" s="84"/>
      <c r="K3" s="108"/>
      <c r="L3" s="84"/>
    </row>
    <row r="4" spans="1:12" ht="100.05" customHeight="1" x14ac:dyDescent="0.25">
      <c r="A4" s="11">
        <v>1</v>
      </c>
      <c r="B4" s="12" t="s">
        <v>13</v>
      </c>
      <c r="C4" s="53" t="s">
        <v>472</v>
      </c>
      <c r="D4" s="13" t="e" vm="1">
        <f ca="1">_xlfn.DISPIMG("ID_D39D56CD49FB48F59A63CC1237A794E3",1)</f>
        <v>#NAME?</v>
      </c>
      <c r="E4" s="14" t="s">
        <v>15</v>
      </c>
      <c r="F4" s="13"/>
      <c r="G4" s="11">
        <v>1</v>
      </c>
      <c r="H4" s="12" t="s">
        <v>17</v>
      </c>
      <c r="I4" s="13" t="e" vm="1">
        <f ca="1">_xlfn.DISPIMG("ID_1C8659CAB841436DA2979C35145C63AF",1)</f>
        <v>#NAME?</v>
      </c>
      <c r="J4" s="12" t="s">
        <v>18</v>
      </c>
      <c r="K4" s="14" t="s">
        <v>19</v>
      </c>
      <c r="L4" s="13"/>
    </row>
    <row r="5" spans="1:12" ht="100.05" customHeight="1" x14ac:dyDescent="0.25">
      <c r="A5" s="11">
        <v>2</v>
      </c>
      <c r="B5" s="12" t="s">
        <v>20</v>
      </c>
      <c r="C5" s="12" t="s">
        <v>21</v>
      </c>
      <c r="D5" s="13" t="e" vm="1">
        <f ca="1">_xlfn.DISPIMG("ID_8F047612C3D34BD2BCD21350C95A73F1",1)</f>
        <v>#NAME?</v>
      </c>
      <c r="E5" s="14" t="s">
        <v>22</v>
      </c>
      <c r="F5" s="13"/>
      <c r="G5" s="11">
        <v>2</v>
      </c>
      <c r="H5" s="12" t="s">
        <v>23</v>
      </c>
      <c r="I5" s="13" t="e" vm="1">
        <f ca="1">_xlfn.DISPIMG("ID_EB05D246355E4EBBA331A9F9E508EF45",1)</f>
        <v>#NAME?</v>
      </c>
      <c r="J5" s="12" t="s">
        <v>24</v>
      </c>
      <c r="K5" s="30" t="s">
        <v>25</v>
      </c>
      <c r="L5" s="13"/>
    </row>
    <row r="6" spans="1:12" ht="100.05" customHeight="1" x14ac:dyDescent="0.25">
      <c r="A6" s="11">
        <v>3</v>
      </c>
      <c r="B6" s="12" t="s">
        <v>26</v>
      </c>
      <c r="C6" s="12" t="s">
        <v>21</v>
      </c>
      <c r="D6" s="13" t="e" vm="1">
        <f ca="1">_xlfn.DISPIMG("ID_5F9734CB03224153AF80F4155494520E",1)</f>
        <v>#NAME?</v>
      </c>
      <c r="E6" s="14" t="s">
        <v>22</v>
      </c>
      <c r="F6" s="13"/>
      <c r="G6" s="11">
        <v>3</v>
      </c>
      <c r="H6" s="12" t="s">
        <v>26</v>
      </c>
      <c r="I6" s="13" t="e" vm="1">
        <f ca="1">_xlfn.DISPIMG("ID_AD146F75FF6D47549254587DB1FE0121",1)</f>
        <v>#NAME?</v>
      </c>
      <c r="J6" s="12" t="s">
        <v>24</v>
      </c>
      <c r="K6" s="14" t="s">
        <v>27</v>
      </c>
      <c r="L6" s="13"/>
    </row>
    <row r="7" spans="1:12" ht="100.05" customHeight="1" x14ac:dyDescent="0.25">
      <c r="A7" s="11">
        <v>4</v>
      </c>
      <c r="B7" s="12" t="s">
        <v>28</v>
      </c>
      <c r="C7" s="53" t="s">
        <v>473</v>
      </c>
      <c r="D7" s="77" t="e" vm="1">
        <f ca="1">_xlfn.DISPIMG("ID_DA84EC65895F4167B33804180FD33E98",1)</f>
        <v>#NAME?</v>
      </c>
      <c r="E7" s="14" t="s">
        <v>30</v>
      </c>
      <c r="F7" s="13"/>
      <c r="G7" s="11">
        <v>4</v>
      </c>
      <c r="H7" s="12" t="s">
        <v>31</v>
      </c>
      <c r="I7" s="13" t="e" vm="1">
        <f ca="1">_xlfn.DISPIMG("ID_954A063B8B034FA2AEDE799D017C0A3B",1)</f>
        <v>#NAME?</v>
      </c>
      <c r="J7" s="53" t="s">
        <v>474</v>
      </c>
      <c r="K7" s="14" t="s">
        <v>19</v>
      </c>
      <c r="L7" s="13"/>
    </row>
    <row r="8" spans="1:12" ht="100.05" customHeight="1" x14ac:dyDescent="0.25">
      <c r="A8" s="11">
        <v>5</v>
      </c>
      <c r="B8" s="12" t="s">
        <v>33</v>
      </c>
      <c r="C8" s="12" t="s">
        <v>21</v>
      </c>
      <c r="D8" s="77"/>
      <c r="E8" s="14" t="s">
        <v>34</v>
      </c>
      <c r="F8" s="13"/>
      <c r="G8" s="11">
        <v>5</v>
      </c>
      <c r="H8" s="12" t="s">
        <v>28</v>
      </c>
      <c r="I8" s="13" t="e" vm="1">
        <f ca="1">_xlfn.DISPIMG("ID_501D1F209DFA424EA52A9F924C087FAC",1)</f>
        <v>#NAME?</v>
      </c>
      <c r="J8" s="53" t="s">
        <v>476</v>
      </c>
      <c r="K8" s="14" t="s">
        <v>36</v>
      </c>
      <c r="L8" s="13"/>
    </row>
    <row r="9" spans="1:12" ht="100.05" customHeight="1" x14ac:dyDescent="0.25">
      <c r="A9" s="11">
        <v>6</v>
      </c>
      <c r="B9" s="12" t="s">
        <v>37</v>
      </c>
      <c r="C9" s="53" t="s">
        <v>475</v>
      </c>
      <c r="D9" s="13" t="e" vm="1">
        <f ca="1">_xlfn.DISPIMG("ID_D2DBC2FE6CA64566998BE7BC289B54EE",1)</f>
        <v>#NAME?</v>
      </c>
      <c r="E9" s="14" t="s">
        <v>39</v>
      </c>
      <c r="F9" s="13"/>
      <c r="G9" s="11">
        <v>6</v>
      </c>
      <c r="H9" s="12" t="s">
        <v>40</v>
      </c>
      <c r="I9" s="13" t="e" vm="1">
        <f ca="1">_xlfn.DISPIMG("ID_D2CACAC368E24319815C2D4AA0F44076",1)</f>
        <v>#NAME?</v>
      </c>
      <c r="J9" s="12" t="s">
        <v>21</v>
      </c>
      <c r="K9" s="14" t="s">
        <v>41</v>
      </c>
      <c r="L9" s="13"/>
    </row>
    <row r="10" spans="1:12" ht="100.05" customHeight="1" x14ac:dyDescent="0.25">
      <c r="A10" s="11">
        <v>7</v>
      </c>
      <c r="B10" s="12" t="s">
        <v>42</v>
      </c>
      <c r="C10" s="12" t="s">
        <v>43</v>
      </c>
      <c r="D10" s="77" t="e" vm="1">
        <f ca="1">_xlfn.DISPIMG("ID_CDF006106F1443028DDEE1DFA20DFF6B",1)</f>
        <v>#NAME?</v>
      </c>
      <c r="E10" s="113" t="s">
        <v>44</v>
      </c>
      <c r="F10" s="13"/>
      <c r="G10" s="11">
        <v>7</v>
      </c>
      <c r="H10" s="12" t="s">
        <v>45</v>
      </c>
      <c r="I10" s="77" t="e" vm="1">
        <f ca="1">_xlfn.DISPIMG("ID_4AADA9D4F77A4312BB1BB2D3A14FBEDA",1)</f>
        <v>#NAME?</v>
      </c>
      <c r="J10" s="53" t="s">
        <v>478</v>
      </c>
      <c r="K10" s="113" t="s">
        <v>47</v>
      </c>
      <c r="L10" s="13"/>
    </row>
    <row r="11" spans="1:12" ht="100.05" customHeight="1" x14ac:dyDescent="0.25">
      <c r="A11" s="11">
        <v>8</v>
      </c>
      <c r="B11" s="12" t="s">
        <v>42</v>
      </c>
      <c r="C11" s="12" t="s">
        <v>48</v>
      </c>
      <c r="D11" s="77"/>
      <c r="E11" s="114"/>
      <c r="F11" s="13"/>
      <c r="G11" s="11">
        <v>8</v>
      </c>
      <c r="H11" s="12" t="s">
        <v>49</v>
      </c>
      <c r="I11" s="77"/>
      <c r="J11" s="53" t="s">
        <v>479</v>
      </c>
      <c r="K11" s="114"/>
      <c r="L11" s="13"/>
    </row>
    <row r="12" spans="1:12" ht="100.05" customHeight="1" x14ac:dyDescent="0.25">
      <c r="A12" s="11">
        <v>9</v>
      </c>
      <c r="B12" s="12" t="s">
        <v>51</v>
      </c>
      <c r="C12" s="12" t="s">
        <v>21</v>
      </c>
      <c r="D12" s="13" t="e" vm="1">
        <f ca="1">_xlfn.DISPIMG("ID_627CD400954844478C0F12213850A954",1)</f>
        <v>#NAME?</v>
      </c>
      <c r="E12" s="14" t="s">
        <v>52</v>
      </c>
      <c r="F12" s="13"/>
      <c r="G12" s="11">
        <v>9</v>
      </c>
      <c r="H12" s="12" t="s">
        <v>53</v>
      </c>
      <c r="I12" s="77"/>
      <c r="J12" s="12" t="s">
        <v>21</v>
      </c>
      <c r="K12" s="114"/>
      <c r="L12" s="13"/>
    </row>
    <row r="13" spans="1:12" ht="100.05" customHeight="1" x14ac:dyDescent="0.25">
      <c r="A13" s="11">
        <v>10</v>
      </c>
      <c r="B13" s="12" t="s">
        <v>54</v>
      </c>
      <c r="C13" s="53" t="s">
        <v>480</v>
      </c>
      <c r="D13" s="13" t="e" vm="1">
        <f ca="1">_xlfn.DISPIMG("ID_8A200BFBAF99480CA301A4C5E5E1C397",1)</f>
        <v>#NAME?</v>
      </c>
      <c r="E13" s="14" t="s">
        <v>56</v>
      </c>
      <c r="F13" s="13"/>
      <c r="G13" s="16" t="s">
        <v>57</v>
      </c>
      <c r="H13" s="12" t="s">
        <v>54</v>
      </c>
      <c r="I13" s="13" t="e" vm="1">
        <f ca="1">_xlfn.DISPIMG("ID_46A3472BEDCA4A6A8933FBC0FA4B396C",1)</f>
        <v>#NAME?</v>
      </c>
      <c r="J13" s="53" t="s">
        <v>481</v>
      </c>
      <c r="K13" s="14" t="s">
        <v>36</v>
      </c>
      <c r="L13" s="13"/>
    </row>
    <row r="14" spans="1:12" ht="100.05" customHeight="1" x14ac:dyDescent="0.25">
      <c r="A14" s="11">
        <v>11</v>
      </c>
      <c r="B14" s="12" t="s">
        <v>54</v>
      </c>
      <c r="C14" s="12" t="s">
        <v>59</v>
      </c>
      <c r="D14" s="13" t="e" vm="1">
        <f ca="1">_xlfn.DISPIMG("ID_23D693BEF2CE488385EE5E3DA6BE102E",1)</f>
        <v>#NAME?</v>
      </c>
      <c r="E14" s="14" t="s">
        <v>56</v>
      </c>
      <c r="F14" s="13"/>
      <c r="G14" s="16" t="s">
        <v>60</v>
      </c>
      <c r="H14" s="12" t="s">
        <v>61</v>
      </c>
      <c r="I14" s="13" t="e" vm="1">
        <f ca="1">_xlfn.DISPIMG("ID_BA2B0328F0604048B7E77F7334A38918",1)</f>
        <v>#NAME?</v>
      </c>
      <c r="J14" s="12" t="s">
        <v>62</v>
      </c>
      <c r="K14" s="14" t="s">
        <v>36</v>
      </c>
      <c r="L14" s="13"/>
    </row>
    <row r="15" spans="1:12" ht="100.05" customHeight="1" x14ac:dyDescent="0.25">
      <c r="A15" s="17">
        <v>12</v>
      </c>
      <c r="B15" s="18" t="s">
        <v>63</v>
      </c>
      <c r="C15" s="18" t="s">
        <v>64</v>
      </c>
      <c r="D15" s="19" t="e" vm="1">
        <f ca="1">_xlfn.DISPIMG("ID_B3FEAD60966B473AA51679E9E9C15944",1)</f>
        <v>#NAME?</v>
      </c>
      <c r="E15" s="52" t="s">
        <v>408</v>
      </c>
      <c r="F15" s="19"/>
      <c r="G15" s="16" t="s">
        <v>66</v>
      </c>
      <c r="H15" s="12" t="s">
        <v>67</v>
      </c>
      <c r="I15" s="13" t="e" vm="1">
        <f ca="1">_xlfn.DISPIMG("ID_6CB0FE4F548141A68DC84BC0A4B2A68C",1)</f>
        <v>#NAME?</v>
      </c>
      <c r="J15" s="53" t="s">
        <v>482</v>
      </c>
      <c r="K15" s="14" t="s">
        <v>69</v>
      </c>
      <c r="L15" s="13"/>
    </row>
    <row r="16" spans="1:12" ht="100.05" customHeight="1" x14ac:dyDescent="0.25">
      <c r="A16" s="17">
        <v>13</v>
      </c>
      <c r="B16" s="18" t="s">
        <v>71</v>
      </c>
      <c r="C16" s="18" t="s">
        <v>72</v>
      </c>
      <c r="D16" s="19"/>
      <c r="E16" s="20" t="s">
        <v>73</v>
      </c>
      <c r="F16" s="19"/>
      <c r="G16" s="16" t="s">
        <v>74</v>
      </c>
      <c r="H16" s="12" t="s">
        <v>75</v>
      </c>
      <c r="I16" s="13" t="e" vm="1">
        <f ca="1">_xlfn.DISPIMG("ID_C7FB6CC1EC104AF5AB3ABF07A4DBD3DC",1)</f>
        <v>#NAME?</v>
      </c>
      <c r="J16" s="12" t="s">
        <v>76</v>
      </c>
      <c r="K16" s="14" t="s">
        <v>69</v>
      </c>
      <c r="L16" s="13"/>
    </row>
    <row r="17" spans="1:12" ht="100.05" customHeight="1" x14ac:dyDescent="0.25">
      <c r="A17" s="17">
        <v>14</v>
      </c>
      <c r="B17" s="18" t="s">
        <v>77</v>
      </c>
      <c r="C17" s="18" t="s">
        <v>78</v>
      </c>
      <c r="D17" s="19"/>
      <c r="E17" s="20" t="s">
        <v>79</v>
      </c>
      <c r="F17" s="19"/>
      <c r="G17" s="11">
        <v>14</v>
      </c>
      <c r="H17" s="12" t="s">
        <v>81</v>
      </c>
      <c r="I17" s="13" t="e" vm="1">
        <f ca="1">_xlfn.DISPIMG("ID_F7ACAABD1C5944C5954452766FA12663",1)</f>
        <v>#NAME?</v>
      </c>
      <c r="J17" s="12" t="s">
        <v>82</v>
      </c>
      <c r="K17" s="14" t="s">
        <v>83</v>
      </c>
      <c r="L17" s="13"/>
    </row>
    <row r="18" spans="1:12" ht="100.05" customHeight="1" x14ac:dyDescent="0.25">
      <c r="A18" s="21"/>
      <c r="B18" s="21"/>
      <c r="C18" s="21"/>
      <c r="D18" s="21"/>
      <c r="E18" s="22"/>
      <c r="F18" s="23"/>
      <c r="G18" s="11">
        <v>15</v>
      </c>
      <c r="H18" s="12" t="s">
        <v>77</v>
      </c>
      <c r="I18" s="13" t="e" vm="1">
        <f ca="1">_xlfn.DISPIMG("ID_1688C2C104114AF0AB690A344ADB8DF1",1)</f>
        <v>#NAME?</v>
      </c>
      <c r="J18" s="12" t="s">
        <v>84</v>
      </c>
      <c r="K18" s="14" t="s">
        <v>36</v>
      </c>
      <c r="L18" s="13"/>
    </row>
    <row r="19" spans="1:12" ht="19.95" customHeight="1" x14ac:dyDescent="0.25">
      <c r="A19" s="86" t="s">
        <v>85</v>
      </c>
      <c r="B19" s="84"/>
      <c r="C19" s="84"/>
      <c r="D19" s="84"/>
      <c r="E19" s="108"/>
      <c r="F19" s="84"/>
      <c r="G19" s="83" t="s">
        <v>85</v>
      </c>
      <c r="H19" s="84"/>
      <c r="I19" s="84"/>
      <c r="J19" s="84"/>
      <c r="K19" s="108"/>
      <c r="L19" s="84"/>
    </row>
    <row r="20" spans="1:12" ht="100.05" customHeight="1" x14ac:dyDescent="0.25">
      <c r="A20" s="11">
        <v>1</v>
      </c>
      <c r="B20" s="12" t="s">
        <v>13</v>
      </c>
      <c r="C20" s="12" t="s">
        <v>86</v>
      </c>
      <c r="D20" s="13" t="e" vm="1">
        <f ca="1">_xlfn.DISPIMG("ID_208FCD6E7E64483FA1BB840146878BC0",1)</f>
        <v>#NAME?</v>
      </c>
      <c r="E20" s="14" t="s">
        <v>87</v>
      </c>
      <c r="F20" s="24"/>
      <c r="G20" s="11">
        <v>1</v>
      </c>
      <c r="H20" s="12" t="s">
        <v>17</v>
      </c>
      <c r="I20" s="13" t="e" vm="1">
        <f ca="1">_xlfn.DISPIMG("ID_B67886C6FD9346FA9D640ACD2C62E893",1)</f>
        <v>#NAME?</v>
      </c>
      <c r="J20" s="12" t="s">
        <v>18</v>
      </c>
      <c r="K20" s="14" t="s">
        <v>19</v>
      </c>
      <c r="L20" s="24"/>
    </row>
    <row r="21" spans="1:12" ht="100.05" customHeight="1" x14ac:dyDescent="0.25">
      <c r="A21" s="11">
        <v>2</v>
      </c>
      <c r="B21" s="12" t="s">
        <v>20</v>
      </c>
      <c r="C21" s="12" t="s">
        <v>88</v>
      </c>
      <c r="D21" s="13" t="e" vm="1">
        <f ca="1">_xlfn.DISPIMG("ID_B6CA991F545140C7BD0375593EA5D78D",1)</f>
        <v>#NAME?</v>
      </c>
      <c r="E21" s="14" t="s">
        <v>89</v>
      </c>
      <c r="F21" s="24"/>
      <c r="G21" s="11">
        <v>2</v>
      </c>
      <c r="H21" s="12" t="s">
        <v>23</v>
      </c>
      <c r="I21" s="13" t="e" vm="1">
        <f ca="1">_xlfn.DISPIMG("ID_B924EA56E8074E54AFDE73D1CA34DB68",1)</f>
        <v>#NAME?</v>
      </c>
      <c r="J21" s="12" t="s">
        <v>24</v>
      </c>
      <c r="K21" s="30" t="s">
        <v>25</v>
      </c>
      <c r="L21" s="24"/>
    </row>
    <row r="22" spans="1:12" ht="100.05" customHeight="1" x14ac:dyDescent="0.25">
      <c r="A22" s="11">
        <v>3</v>
      </c>
      <c r="B22" s="12" t="s">
        <v>26</v>
      </c>
      <c r="C22" s="12" t="s">
        <v>90</v>
      </c>
      <c r="D22" s="13" t="e" vm="1">
        <f ca="1">_xlfn.DISPIMG("ID_F31F309DBC64422C9594BD49891E8EFB",1)</f>
        <v>#NAME?</v>
      </c>
      <c r="E22" s="14" t="s">
        <v>89</v>
      </c>
      <c r="F22" s="24"/>
      <c r="G22" s="11">
        <v>3</v>
      </c>
      <c r="H22" s="12" t="s">
        <v>26</v>
      </c>
      <c r="I22" s="13" t="e" vm="1">
        <f ca="1">_xlfn.DISPIMG("ID_C5BEC9C0B3294CB1B1F2A45C25A4148F",1)</f>
        <v>#NAME?</v>
      </c>
      <c r="J22" s="12" t="s">
        <v>24</v>
      </c>
      <c r="K22" s="14" t="s">
        <v>27</v>
      </c>
      <c r="L22" s="24"/>
    </row>
    <row r="23" spans="1:12" ht="100.05" customHeight="1" x14ac:dyDescent="0.25">
      <c r="A23" s="11">
        <v>4</v>
      </c>
      <c r="B23" s="12" t="s">
        <v>42</v>
      </c>
      <c r="C23" s="12" t="s">
        <v>43</v>
      </c>
      <c r="D23" s="77" t="e" vm="1">
        <f ca="1">_xlfn.DISPIMG("ID_A371DCB7B6B24D4984F414E4BE22DDD7",1)</f>
        <v>#NAME?</v>
      </c>
      <c r="E23" s="113" t="s">
        <v>44</v>
      </c>
      <c r="F23" s="24"/>
      <c r="G23" s="11">
        <v>4</v>
      </c>
      <c r="H23" s="12" t="s">
        <v>31</v>
      </c>
      <c r="I23" s="13" t="e" vm="1">
        <f ca="1">_xlfn.DISPIMG("ID_C0D21E862683492080D1E6A2D4D0AD4A",1)</f>
        <v>#NAME?</v>
      </c>
      <c r="J23" s="12" t="s">
        <v>32</v>
      </c>
      <c r="K23" s="14" t="s">
        <v>19</v>
      </c>
      <c r="L23" s="24"/>
    </row>
    <row r="24" spans="1:12" ht="100.05" customHeight="1" x14ac:dyDescent="0.25">
      <c r="A24" s="11">
        <v>5</v>
      </c>
      <c r="B24" s="12" t="s">
        <v>42</v>
      </c>
      <c r="C24" s="12" t="s">
        <v>48</v>
      </c>
      <c r="D24" s="77"/>
      <c r="E24" s="114"/>
      <c r="F24" s="24"/>
      <c r="G24" s="11">
        <v>5</v>
      </c>
      <c r="H24" s="12" t="s">
        <v>28</v>
      </c>
      <c r="I24" s="13" t="e" vm="1">
        <f ca="1">_xlfn.DISPIMG("ID_AEE9C3C079D541B8B3CA3EEB82EE5B58",1)</f>
        <v>#NAME?</v>
      </c>
      <c r="J24" s="12" t="s">
        <v>35</v>
      </c>
      <c r="K24" s="14" t="s">
        <v>36</v>
      </c>
      <c r="L24" s="24"/>
    </row>
    <row r="25" spans="1:12" ht="100.05" customHeight="1" x14ac:dyDescent="0.25">
      <c r="A25" s="11">
        <v>6</v>
      </c>
      <c r="B25" s="12" t="s">
        <v>51</v>
      </c>
      <c r="C25" s="12" t="s">
        <v>21</v>
      </c>
      <c r="D25" s="13" t="e" vm="1">
        <f ca="1">_xlfn.DISPIMG("ID_E53E188392D146BFAF7FF72A3165A173",1)</f>
        <v>#NAME?</v>
      </c>
      <c r="E25" s="14" t="s">
        <v>52</v>
      </c>
      <c r="F25" s="24"/>
      <c r="G25" s="11">
        <v>6</v>
      </c>
      <c r="H25" s="12" t="s">
        <v>40</v>
      </c>
      <c r="I25" s="13" t="e" vm="1">
        <f ca="1">_xlfn.DISPIMG("ID_895A8AE0CDEE411399D189183039D6B0",1)</f>
        <v>#NAME?</v>
      </c>
      <c r="J25" s="12" t="s">
        <v>21</v>
      </c>
      <c r="K25" s="14" t="s">
        <v>41</v>
      </c>
      <c r="L25" s="24"/>
    </row>
    <row r="26" spans="1:12" ht="100.05" customHeight="1" x14ac:dyDescent="0.25">
      <c r="A26" s="11">
        <v>7</v>
      </c>
      <c r="B26" s="12" t="s">
        <v>54</v>
      </c>
      <c r="C26" s="12" t="s">
        <v>55</v>
      </c>
      <c r="D26" s="13" t="e" vm="1">
        <f ca="1">_xlfn.DISPIMG("ID_A88173324CD840138893D56EFF229789",1)</f>
        <v>#NAME?</v>
      </c>
      <c r="E26" s="14" t="s">
        <v>56</v>
      </c>
      <c r="F26" s="24"/>
      <c r="G26" s="11">
        <v>7</v>
      </c>
      <c r="H26" s="12" t="s">
        <v>45</v>
      </c>
      <c r="I26" s="77" t="e" vm="1">
        <f ca="1">_xlfn.DISPIMG("ID_F0EC5E48BE87456CB6483C31F0445C04",1)</f>
        <v>#NAME?</v>
      </c>
      <c r="J26" s="12" t="s">
        <v>46</v>
      </c>
      <c r="K26" s="113" t="s">
        <v>47</v>
      </c>
      <c r="L26" s="24"/>
    </row>
    <row r="27" spans="1:12" ht="100.05" customHeight="1" x14ac:dyDescent="0.25">
      <c r="A27" s="11">
        <v>8</v>
      </c>
      <c r="B27" s="12" t="s">
        <v>54</v>
      </c>
      <c r="C27" s="12" t="s">
        <v>59</v>
      </c>
      <c r="D27" s="13" t="e" vm="1">
        <f ca="1">_xlfn.DISPIMG("ID_93FE67A6854D4BDC8E8522D2A9144156",1)</f>
        <v>#NAME?</v>
      </c>
      <c r="E27" s="14" t="s">
        <v>56</v>
      </c>
      <c r="F27" s="24"/>
      <c r="G27" s="11">
        <v>8</v>
      </c>
      <c r="H27" s="12" t="s">
        <v>49</v>
      </c>
      <c r="I27" s="77"/>
      <c r="J27" s="12" t="s">
        <v>50</v>
      </c>
      <c r="K27" s="114"/>
      <c r="L27" s="24"/>
    </row>
    <row r="28" spans="1:12" ht="100.05" customHeight="1" x14ac:dyDescent="0.25">
      <c r="A28" s="11">
        <v>9</v>
      </c>
      <c r="B28" s="12" t="s">
        <v>28</v>
      </c>
      <c r="C28" s="12" t="s">
        <v>29</v>
      </c>
      <c r="D28" s="13" t="e" vm="1">
        <f ca="1">_xlfn.DISPIMG("ID_619B2443FCEF4BC6A068EAEE13C8DD76",1)</f>
        <v>#NAME?</v>
      </c>
      <c r="E28" s="14" t="s">
        <v>30</v>
      </c>
      <c r="F28" s="24"/>
      <c r="G28" s="11">
        <v>9</v>
      </c>
      <c r="H28" s="12" t="s">
        <v>53</v>
      </c>
      <c r="I28" s="77"/>
      <c r="J28" s="12" t="s">
        <v>21</v>
      </c>
      <c r="K28" s="114"/>
      <c r="L28" s="24"/>
    </row>
    <row r="29" spans="1:12" ht="100.05" customHeight="1" x14ac:dyDescent="0.25">
      <c r="A29" s="11">
        <v>10</v>
      </c>
      <c r="B29" s="12" t="s">
        <v>33</v>
      </c>
      <c r="C29" s="12" t="s">
        <v>21</v>
      </c>
      <c r="D29" s="13" t="e" vm="1">
        <f ca="1">_xlfn.DISPIMG("ID_FF9B3EFDC64B4F828534FEC755A53F7D",1)</f>
        <v>#NAME?</v>
      </c>
      <c r="E29" s="14" t="s">
        <v>34</v>
      </c>
      <c r="F29" s="24"/>
      <c r="G29" s="11">
        <v>10</v>
      </c>
      <c r="H29" s="12" t="s">
        <v>54</v>
      </c>
      <c r="I29" s="13" t="e" vm="1">
        <f ca="1">_xlfn.DISPIMG("ID_11C9CBFE6C7A4C9090F849877BA55B89",1)</f>
        <v>#NAME?</v>
      </c>
      <c r="J29" s="12" t="s">
        <v>58</v>
      </c>
      <c r="K29" s="14" t="s">
        <v>36</v>
      </c>
      <c r="L29" s="24"/>
    </row>
    <row r="30" spans="1:12" ht="100.05" customHeight="1" x14ac:dyDescent="0.25">
      <c r="A30" s="11">
        <v>11</v>
      </c>
      <c r="B30" s="12" t="s">
        <v>37</v>
      </c>
      <c r="C30" s="12" t="s">
        <v>38</v>
      </c>
      <c r="D30" s="13" t="e" vm="1">
        <f ca="1">_xlfn.DISPIMG("ID_3714891C20DF484DBEA97BBE333C4B39",1)</f>
        <v>#NAME?</v>
      </c>
      <c r="E30" s="14" t="s">
        <v>39</v>
      </c>
      <c r="F30" s="24"/>
      <c r="G30" s="11">
        <v>11</v>
      </c>
      <c r="H30" s="12" t="s">
        <v>61</v>
      </c>
      <c r="I30" s="13" t="e" vm="1">
        <f ca="1">_xlfn.DISPIMG("ID_BE16974B3BE14B408DD9579CB4F61A1E",1)</f>
        <v>#NAME?</v>
      </c>
      <c r="J30" s="12" t="s">
        <v>62</v>
      </c>
      <c r="K30" s="14" t="s">
        <v>36</v>
      </c>
      <c r="L30" s="24"/>
    </row>
    <row r="31" spans="1:12" ht="100.05" customHeight="1" x14ac:dyDescent="0.25">
      <c r="A31" s="11">
        <v>12</v>
      </c>
      <c r="B31" s="12" t="s">
        <v>63</v>
      </c>
      <c r="C31" s="12" t="s">
        <v>64</v>
      </c>
      <c r="D31" s="77" t="e" vm="1">
        <f ca="1">_xlfn.DISPIMG("ID_E1AF901904944EF48A10E7D77264202C",1)</f>
        <v>#NAME?</v>
      </c>
      <c r="E31" s="14" t="s">
        <v>91</v>
      </c>
      <c r="F31" s="24"/>
      <c r="G31" s="16" t="s">
        <v>66</v>
      </c>
      <c r="H31" s="12" t="s">
        <v>92</v>
      </c>
      <c r="I31" s="13" t="e" vm="1">
        <f ca="1">_xlfn.DISPIMG("ID_839A4005749A4083B00A6AE442C4DF11",1)</f>
        <v>#NAME?</v>
      </c>
      <c r="J31" s="12" t="s">
        <v>93</v>
      </c>
      <c r="K31" s="14" t="s">
        <v>19</v>
      </c>
      <c r="L31" s="24"/>
    </row>
    <row r="32" spans="1:12" ht="100.05" customHeight="1" x14ac:dyDescent="0.25">
      <c r="A32" s="11">
        <v>13</v>
      </c>
      <c r="B32" s="12" t="s">
        <v>71</v>
      </c>
      <c r="C32" s="12" t="s">
        <v>64</v>
      </c>
      <c r="D32" s="77"/>
      <c r="E32" s="14" t="s">
        <v>73</v>
      </c>
      <c r="F32" s="24"/>
      <c r="G32" s="16" t="s">
        <v>74</v>
      </c>
      <c r="H32" s="12" t="s">
        <v>67</v>
      </c>
      <c r="I32" s="13" t="e" vm="1">
        <f ca="1">_xlfn.DISPIMG("ID_CBEC721D5E3D4A5A8EDBB5107BC90CA0",1)</f>
        <v>#NAME?</v>
      </c>
      <c r="J32" s="12" t="s">
        <v>94</v>
      </c>
      <c r="K32" s="14" t="s">
        <v>69</v>
      </c>
      <c r="L32" s="24"/>
    </row>
    <row r="33" spans="1:12" ht="100.05" customHeight="1" x14ac:dyDescent="0.25">
      <c r="A33" s="11">
        <v>14</v>
      </c>
      <c r="B33" s="12" t="s">
        <v>77</v>
      </c>
      <c r="C33" s="12" t="s">
        <v>95</v>
      </c>
      <c r="D33" s="77"/>
      <c r="E33" s="14" t="s">
        <v>96</v>
      </c>
      <c r="F33" s="24"/>
      <c r="G33" s="16" t="s">
        <v>97</v>
      </c>
      <c r="H33" s="12" t="s">
        <v>75</v>
      </c>
      <c r="I33" s="13" t="e" vm="1">
        <f ca="1">_xlfn.DISPIMG("ID_062C72DB79394389879495451866432F",1)</f>
        <v>#NAME?</v>
      </c>
      <c r="J33" s="12" t="s">
        <v>76</v>
      </c>
      <c r="K33" s="14" t="s">
        <v>69</v>
      </c>
      <c r="L33" s="24"/>
    </row>
    <row r="34" spans="1:12" ht="100.05" customHeight="1" x14ac:dyDescent="0.25">
      <c r="A34" s="24"/>
      <c r="B34" s="24"/>
      <c r="C34" s="24"/>
      <c r="D34" s="24"/>
      <c r="E34" s="25"/>
      <c r="F34" s="24"/>
      <c r="G34" s="16" t="s">
        <v>98</v>
      </c>
      <c r="H34" s="12" t="s">
        <v>81</v>
      </c>
      <c r="I34" s="13" t="e" vm="1">
        <f ca="1">_xlfn.DISPIMG("ID_6530099D29474D6A8389D6B7006C8F1A",1)</f>
        <v>#NAME?</v>
      </c>
      <c r="J34" s="12" t="s">
        <v>82</v>
      </c>
      <c r="K34" s="14" t="s">
        <v>83</v>
      </c>
      <c r="L34" s="24"/>
    </row>
    <row r="35" spans="1:12" ht="100.05" customHeight="1" x14ac:dyDescent="0.25">
      <c r="A35" s="24"/>
      <c r="B35" s="24"/>
      <c r="C35" s="24"/>
      <c r="D35" s="24"/>
      <c r="E35" s="25"/>
      <c r="F35" s="24"/>
      <c r="G35" s="11">
        <v>16</v>
      </c>
      <c r="H35" s="12" t="s">
        <v>77</v>
      </c>
      <c r="I35" s="13" t="e" vm="1">
        <f ca="1">_xlfn.DISPIMG("ID_9E40057FD5364DA58A127067A6B70D3B",1)</f>
        <v>#NAME?</v>
      </c>
      <c r="J35" s="12" t="s">
        <v>84</v>
      </c>
      <c r="K35" s="14" t="s">
        <v>36</v>
      </c>
      <c r="L35" s="24"/>
    </row>
    <row r="36" spans="1:12" ht="19.95" customHeight="1" x14ac:dyDescent="0.25">
      <c r="A36" s="86" t="s">
        <v>99</v>
      </c>
      <c r="B36" s="84"/>
      <c r="C36" s="84"/>
      <c r="D36" s="84"/>
      <c r="E36" s="108"/>
      <c r="F36" s="88"/>
      <c r="G36" s="83" t="s">
        <v>99</v>
      </c>
      <c r="H36" s="84"/>
      <c r="I36" s="84"/>
      <c r="J36" s="84"/>
      <c r="K36" s="108"/>
      <c r="L36" s="84"/>
    </row>
    <row r="37" spans="1:12" ht="100.05" customHeight="1" x14ac:dyDescent="0.25">
      <c r="A37" s="11">
        <v>1</v>
      </c>
      <c r="B37" s="12" t="s">
        <v>17</v>
      </c>
      <c r="C37" s="12" t="s">
        <v>101</v>
      </c>
      <c r="D37" s="13" t="e" vm="1">
        <f ca="1">_xlfn.DISPIMG("ID_FDFB2C1EA7D24669ABB79A13A06088F7",1)</f>
        <v>#NAME?</v>
      </c>
      <c r="E37" s="14" t="s">
        <v>102</v>
      </c>
      <c r="F37" s="26"/>
      <c r="G37" s="11">
        <v>1</v>
      </c>
      <c r="H37" s="12" t="s">
        <v>17</v>
      </c>
      <c r="I37" s="13" t="e" vm="1">
        <f ca="1">_xlfn.DISPIMG("ID_CC555FCA865542A994BA8EEDA11D3FE9",1)</f>
        <v>#NAME?</v>
      </c>
      <c r="J37" s="12" t="s">
        <v>103</v>
      </c>
      <c r="K37" s="14" t="s">
        <v>19</v>
      </c>
      <c r="L37" s="24"/>
    </row>
    <row r="38" spans="1:12" ht="100.05" customHeight="1" x14ac:dyDescent="0.25">
      <c r="A38" s="11">
        <v>2</v>
      </c>
      <c r="B38" s="12" t="s">
        <v>23</v>
      </c>
      <c r="C38" s="12" t="s">
        <v>21</v>
      </c>
      <c r="D38" s="13" t="e" vm="1">
        <f ca="1">_xlfn.DISPIMG("ID_7EE7BB2500524762B5FAE4B3FD7CC5B0",1)</f>
        <v>#NAME?</v>
      </c>
      <c r="E38" s="14" t="s">
        <v>104</v>
      </c>
      <c r="F38" s="28"/>
      <c r="G38" s="11">
        <v>2</v>
      </c>
      <c r="H38" s="12" t="s">
        <v>105</v>
      </c>
      <c r="I38" s="13" t="e" vm="1">
        <f ca="1">_xlfn.DISPIMG("ID_EF3672FF9D884363A865828F2B38258E",1)</f>
        <v>#NAME?</v>
      </c>
      <c r="J38" s="12" t="s">
        <v>24</v>
      </c>
      <c r="K38" s="14" t="s">
        <v>25</v>
      </c>
      <c r="L38" s="24"/>
    </row>
    <row r="39" spans="1:12" ht="100.05" customHeight="1" x14ac:dyDescent="0.25">
      <c r="A39" s="11">
        <v>3</v>
      </c>
      <c r="B39" s="12" t="s">
        <v>26</v>
      </c>
      <c r="C39" s="12" t="s">
        <v>21</v>
      </c>
      <c r="D39" s="13" t="e" vm="1">
        <f ca="1">_xlfn.DISPIMG("ID_C23314BA8811410DB6D7681FEA469A52",1)</f>
        <v>#NAME?</v>
      </c>
      <c r="E39" s="14" t="s">
        <v>106</v>
      </c>
      <c r="F39" s="28"/>
      <c r="G39" s="11">
        <v>3</v>
      </c>
      <c r="H39" s="12" t="s">
        <v>26</v>
      </c>
      <c r="I39" s="13" t="e" vm="1">
        <f ca="1">_xlfn.DISPIMG("ID_4A86D6CCECDB40C1B24C0091160BA9CA",1)</f>
        <v>#NAME?</v>
      </c>
      <c r="J39" s="12" t="s">
        <v>24</v>
      </c>
      <c r="K39" s="14" t="s">
        <v>27</v>
      </c>
      <c r="L39" s="24"/>
    </row>
    <row r="40" spans="1:12" ht="100.05" customHeight="1" x14ac:dyDescent="0.25">
      <c r="A40" s="11">
        <v>4</v>
      </c>
      <c r="B40" s="12" t="s">
        <v>42</v>
      </c>
      <c r="C40" s="12" t="s">
        <v>107</v>
      </c>
      <c r="D40" s="77" t="e" vm="1">
        <f ca="1">_xlfn.DISPIMG("ID_59BACDA03BA24923910EF317C8891330",1)</f>
        <v>#NAME?</v>
      </c>
      <c r="E40" s="113" t="s">
        <v>108</v>
      </c>
      <c r="F40" s="28"/>
      <c r="G40" s="11">
        <v>4</v>
      </c>
      <c r="H40" s="12" t="s">
        <v>31</v>
      </c>
      <c r="I40" s="13" t="e" vm="1">
        <f ca="1">_xlfn.DISPIMG("ID_4E5E9312286B472BB52C7DBFFD55BBF9",1)</f>
        <v>#NAME?</v>
      </c>
      <c r="J40" s="12" t="s">
        <v>109</v>
      </c>
      <c r="K40" s="14" t="s">
        <v>19</v>
      </c>
      <c r="L40" s="24"/>
    </row>
    <row r="41" spans="1:12" ht="100.05" customHeight="1" x14ac:dyDescent="0.25">
      <c r="A41" s="11">
        <v>5</v>
      </c>
      <c r="B41" s="12" t="s">
        <v>42</v>
      </c>
      <c r="C41" s="12" t="s">
        <v>48</v>
      </c>
      <c r="D41" s="77"/>
      <c r="E41" s="114"/>
      <c r="F41" s="28"/>
      <c r="G41" s="11">
        <v>5</v>
      </c>
      <c r="H41" s="12" t="s">
        <v>92</v>
      </c>
      <c r="I41" s="13" t="e" vm="1">
        <f ca="1">_xlfn.DISPIMG("ID_844A99ACB82C429CA757EBAAAF7673C6",1)</f>
        <v>#NAME?</v>
      </c>
      <c r="J41" s="12" t="s">
        <v>93</v>
      </c>
      <c r="K41" s="14" t="s">
        <v>19</v>
      </c>
      <c r="L41" s="24"/>
    </row>
    <row r="42" spans="1:12" ht="100.05" customHeight="1" x14ac:dyDescent="0.25">
      <c r="A42" s="11">
        <v>6</v>
      </c>
      <c r="B42" s="12" t="s">
        <v>110</v>
      </c>
      <c r="C42" s="12" t="s">
        <v>111</v>
      </c>
      <c r="D42" s="13" t="e" vm="1">
        <f ca="1">_xlfn.DISPIMG("ID_0493DFC225D848F6AAB827D91C6B441C",1)</f>
        <v>#NAME?</v>
      </c>
      <c r="E42" s="14" t="s">
        <v>112</v>
      </c>
      <c r="F42" s="28"/>
      <c r="G42" s="11">
        <v>6</v>
      </c>
      <c r="H42" s="12" t="s">
        <v>113</v>
      </c>
      <c r="I42" s="77" t="e" vm="1">
        <f ca="1">_xlfn.DISPIMG("ID_90D58538664740A0BE994D256042CCCB",1)</f>
        <v>#NAME?</v>
      </c>
      <c r="J42" s="12" t="s">
        <v>114</v>
      </c>
      <c r="K42" s="113" t="s">
        <v>47</v>
      </c>
      <c r="L42" s="24"/>
    </row>
    <row r="43" spans="1:12" ht="100.05" customHeight="1" x14ac:dyDescent="0.25">
      <c r="A43" s="11">
        <v>7</v>
      </c>
      <c r="B43" s="12" t="s">
        <v>115</v>
      </c>
      <c r="C43" s="12" t="s">
        <v>116</v>
      </c>
      <c r="D43" s="13" t="e" vm="1">
        <f ca="1">_xlfn.DISPIMG("ID_514CE6F304D5417998709F0EC896FCF8",1)</f>
        <v>#NAME?</v>
      </c>
      <c r="E43" s="14" t="s">
        <v>117</v>
      </c>
      <c r="F43" s="28"/>
      <c r="G43" s="11">
        <v>7</v>
      </c>
      <c r="H43" s="12" t="s">
        <v>49</v>
      </c>
      <c r="I43" s="77"/>
      <c r="J43" s="12" t="s">
        <v>118</v>
      </c>
      <c r="K43" s="114"/>
      <c r="L43" s="24"/>
    </row>
    <row r="44" spans="1:12" ht="100.05" customHeight="1" x14ac:dyDescent="0.25">
      <c r="A44" s="11">
        <v>8</v>
      </c>
      <c r="B44" s="12" t="s">
        <v>119</v>
      </c>
      <c r="C44" s="12" t="s">
        <v>120</v>
      </c>
      <c r="D44" s="13" t="e" vm="1">
        <f ca="1">_xlfn.DISPIMG("ID_5E73B43BD6DD4D258CE6B0A58F77C801",1)</f>
        <v>#NAME?</v>
      </c>
      <c r="E44" s="14" t="s">
        <v>121</v>
      </c>
      <c r="F44" s="28"/>
      <c r="G44" s="11">
        <v>8</v>
      </c>
      <c r="H44" s="12" t="s">
        <v>53</v>
      </c>
      <c r="I44" s="77"/>
      <c r="J44" s="12" t="s">
        <v>21</v>
      </c>
      <c r="K44" s="114"/>
      <c r="L44" s="24"/>
    </row>
    <row r="45" spans="1:12" ht="100.05" customHeight="1" x14ac:dyDescent="0.25">
      <c r="A45" s="24"/>
      <c r="B45" s="24"/>
      <c r="C45" s="24"/>
      <c r="D45" s="24"/>
      <c r="E45" s="25"/>
      <c r="F45" s="29"/>
      <c r="G45" s="11">
        <v>9</v>
      </c>
      <c r="H45" s="12" t="s">
        <v>54</v>
      </c>
      <c r="I45" s="77" t="e" vm="1">
        <f ca="1">_xlfn.DISPIMG("ID_FB5A65D7562649D6B0399A622BA6D3FD",1)</f>
        <v>#NAME?</v>
      </c>
      <c r="J45" s="12" t="s">
        <v>122</v>
      </c>
      <c r="K45" s="113" t="s">
        <v>19</v>
      </c>
      <c r="L45" s="24"/>
    </row>
    <row r="46" spans="1:12" ht="100.05" customHeight="1" x14ac:dyDescent="0.25">
      <c r="A46" s="24"/>
      <c r="B46" s="24"/>
      <c r="C46" s="24"/>
      <c r="D46" s="24"/>
      <c r="E46" s="25"/>
      <c r="F46" s="29"/>
      <c r="G46" s="11">
        <v>10</v>
      </c>
      <c r="H46" s="12" t="s">
        <v>61</v>
      </c>
      <c r="I46" s="77"/>
      <c r="J46" s="12" t="s">
        <v>62</v>
      </c>
      <c r="K46" s="114"/>
      <c r="L46" s="24"/>
    </row>
    <row r="47" spans="1:12" ht="19.95" customHeight="1" x14ac:dyDescent="0.25">
      <c r="A47" s="86" t="s">
        <v>123</v>
      </c>
      <c r="B47" s="84"/>
      <c r="C47" s="84"/>
      <c r="D47" s="84"/>
      <c r="E47" s="108"/>
      <c r="F47" s="84"/>
      <c r="G47" s="83" t="s">
        <v>123</v>
      </c>
      <c r="H47" s="84"/>
      <c r="I47" s="84"/>
      <c r="J47" s="84"/>
      <c r="K47" s="108"/>
      <c r="L47" s="84"/>
    </row>
    <row r="48" spans="1:12" ht="100.05" customHeight="1" x14ac:dyDescent="0.25">
      <c r="A48" s="11">
        <v>1</v>
      </c>
      <c r="B48" s="12" t="s">
        <v>13</v>
      </c>
      <c r="C48" s="53" t="s">
        <v>486</v>
      </c>
      <c r="D48" s="77" t="e" vm="1">
        <f ca="1">_xlfn.DISPIMG("ID_DDC7CE8105EE44F8A5D693CFBA51074D",1)</f>
        <v>#NAME?</v>
      </c>
      <c r="E48" s="113" t="s">
        <v>125</v>
      </c>
      <c r="F48" s="13"/>
      <c r="G48" s="11">
        <v>1</v>
      </c>
      <c r="H48" s="12" t="s">
        <v>17</v>
      </c>
      <c r="I48" s="13" t="e" vm="1">
        <f ca="1">_xlfn.DISPIMG("ID_FD16B964D75140D0ADDC7A3E9CEDA1EC",1)</f>
        <v>#NAME?</v>
      </c>
      <c r="J48" s="12" t="s">
        <v>126</v>
      </c>
      <c r="K48" s="14" t="s">
        <v>19</v>
      </c>
      <c r="L48" s="24"/>
    </row>
    <row r="49" spans="1:12" ht="100.05" customHeight="1" x14ac:dyDescent="0.25">
      <c r="A49" s="11">
        <v>2</v>
      </c>
      <c r="B49" s="12" t="s">
        <v>13</v>
      </c>
      <c r="C49" s="12" t="s">
        <v>127</v>
      </c>
      <c r="D49" s="77"/>
      <c r="E49" s="114"/>
      <c r="F49" s="13"/>
      <c r="G49" s="11">
        <v>2</v>
      </c>
      <c r="H49" s="12" t="s">
        <v>105</v>
      </c>
      <c r="I49" s="13" t="e" vm="1">
        <f ca="1">_xlfn.DISPIMG("ID_590E6F10CDA046E7A1207631BFCF1163",1)</f>
        <v>#NAME?</v>
      </c>
      <c r="J49" s="12" t="s">
        <v>24</v>
      </c>
      <c r="K49" s="14" t="s">
        <v>25</v>
      </c>
      <c r="L49" s="24"/>
    </row>
    <row r="50" spans="1:12" ht="100.05" customHeight="1" x14ac:dyDescent="0.25">
      <c r="A50" s="11">
        <v>3</v>
      </c>
      <c r="B50" s="12" t="s">
        <v>128</v>
      </c>
      <c r="C50" s="12" t="s">
        <v>129</v>
      </c>
      <c r="D50" s="13" t="e" vm="1">
        <f ca="1">_xlfn.DISPIMG("ID_F1B59CDE693D4123863C743B3FE9B593",1)</f>
        <v>#NAME?</v>
      </c>
      <c r="E50" s="14" t="s">
        <v>130</v>
      </c>
      <c r="F50" s="13"/>
      <c r="G50" s="11">
        <v>3</v>
      </c>
      <c r="H50" s="12" t="s">
        <v>26</v>
      </c>
      <c r="I50" s="13" t="e" vm="1">
        <f ca="1">_xlfn.DISPIMG("ID_FEDEB5221D814D5B9C798C1E50C06578",1)</f>
        <v>#NAME?</v>
      </c>
      <c r="J50" s="12" t="s">
        <v>24</v>
      </c>
      <c r="K50" s="14" t="s">
        <v>27</v>
      </c>
      <c r="L50" s="24"/>
    </row>
    <row r="51" spans="1:12" ht="100.05" customHeight="1" x14ac:dyDescent="0.25">
      <c r="A51" s="11">
        <v>4</v>
      </c>
      <c r="B51" s="12" t="s">
        <v>128</v>
      </c>
      <c r="C51" s="12" t="s">
        <v>131</v>
      </c>
      <c r="D51" s="13" t="e" vm="1">
        <f ca="1">_xlfn.DISPIMG("ID_43D90E2282444CA5998DD75378538D0E",1)</f>
        <v>#NAME?</v>
      </c>
      <c r="E51" s="14" t="s">
        <v>132</v>
      </c>
      <c r="F51" s="13"/>
      <c r="G51" s="11">
        <v>4</v>
      </c>
      <c r="H51" s="12" t="s">
        <v>31</v>
      </c>
      <c r="I51" s="13" t="e" vm="1">
        <f ca="1">_xlfn.DISPIMG("ID_BCCC0DBEA2A7403D9630BDE563F72E15",1)</f>
        <v>#NAME?</v>
      </c>
      <c r="J51" s="53" t="s">
        <v>487</v>
      </c>
      <c r="K51" s="14" t="s">
        <v>19</v>
      </c>
      <c r="L51" s="24"/>
    </row>
    <row r="52" spans="1:12" ht="100.05" customHeight="1" x14ac:dyDescent="0.15">
      <c r="A52" s="11">
        <v>5</v>
      </c>
      <c r="B52" s="12" t="s">
        <v>20</v>
      </c>
      <c r="C52" s="12" t="s">
        <v>21</v>
      </c>
      <c r="D52" s="13" t="e" vm="1">
        <f ca="1">_xlfn.DISPIMG("ID_4774A13504BC4CBD80114154BAF90E9F",1)</f>
        <v>#NAME?</v>
      </c>
      <c r="E52" s="14" t="s">
        <v>134</v>
      </c>
      <c r="F52" s="13"/>
      <c r="G52" s="87">
        <v>5</v>
      </c>
      <c r="H52" s="78" t="s">
        <v>135</v>
      </c>
      <c r="I52" s="77" t="e" vm="1">
        <f ca="1">_xlfn.DISPIMG("ID_E24B15A4F63347E58A2F09428F89058C",1)</f>
        <v>#NAME?</v>
      </c>
      <c r="J52" s="78" t="s">
        <v>136</v>
      </c>
      <c r="K52" s="31" t="s">
        <v>137</v>
      </c>
      <c r="L52" s="24"/>
    </row>
    <row r="53" spans="1:12" ht="100.05" customHeight="1" x14ac:dyDescent="0.25">
      <c r="A53" s="11">
        <v>6</v>
      </c>
      <c r="B53" s="12" t="s">
        <v>26</v>
      </c>
      <c r="C53" s="12" t="s">
        <v>21</v>
      </c>
      <c r="D53" s="13" t="e" vm="1">
        <f ca="1">_xlfn.DISPIMG("ID_D235E6BC4D424147A15213B791B58279",1)</f>
        <v>#NAME?</v>
      </c>
      <c r="E53" s="30" t="s">
        <v>138</v>
      </c>
      <c r="F53" s="13"/>
      <c r="G53" s="76"/>
      <c r="H53" s="76"/>
      <c r="I53" s="77"/>
      <c r="J53" s="76"/>
      <c r="K53" s="14" t="s">
        <v>139</v>
      </c>
      <c r="L53" s="24"/>
    </row>
    <row r="54" spans="1:12" ht="100.05" customHeight="1" x14ac:dyDescent="0.25">
      <c r="A54" s="11">
        <v>7</v>
      </c>
      <c r="B54" s="12" t="s">
        <v>42</v>
      </c>
      <c r="C54" s="53" t="s">
        <v>488</v>
      </c>
      <c r="D54" s="13" t="e" vm="1">
        <f ca="1">_xlfn.DISPIMG("ID_162F8D895F254485BD032C5568B73293",1)</f>
        <v>#NAME?</v>
      </c>
      <c r="E54" s="14" t="s">
        <v>140</v>
      </c>
      <c r="F54" s="13"/>
      <c r="G54" s="76"/>
      <c r="H54" s="76"/>
      <c r="I54" s="77"/>
      <c r="J54" s="76"/>
      <c r="K54" s="30" t="s">
        <v>141</v>
      </c>
      <c r="L54" s="24"/>
    </row>
    <row r="55" spans="1:12" ht="100.05" customHeight="1" x14ac:dyDescent="0.25">
      <c r="A55" s="11">
        <v>8</v>
      </c>
      <c r="B55" s="12" t="s">
        <v>115</v>
      </c>
      <c r="C55" s="53" t="s">
        <v>489</v>
      </c>
      <c r="D55" s="13" t="e" vm="1">
        <f ca="1">_xlfn.DISPIMG("ID_0F280A2562E3481EBC863A7FEB77BCAA",1)</f>
        <v>#NAME?</v>
      </c>
      <c r="E55" s="14" t="s">
        <v>143</v>
      </c>
      <c r="F55" s="13"/>
      <c r="G55" s="76"/>
      <c r="H55" s="76"/>
      <c r="I55" s="77"/>
      <c r="J55" s="76"/>
      <c r="K55" s="14" t="s">
        <v>144</v>
      </c>
      <c r="L55" s="24"/>
    </row>
    <row r="56" spans="1:12" ht="100.05" customHeight="1" x14ac:dyDescent="0.25">
      <c r="A56" s="11">
        <v>9</v>
      </c>
      <c r="B56" s="12" t="s">
        <v>28</v>
      </c>
      <c r="C56" s="12" t="s">
        <v>145</v>
      </c>
      <c r="D56" s="13" t="e" vm="1">
        <f ca="1">_xlfn.DISPIMG("ID_E8CF3F96427D45949BC6F3FCB7D97123",1)</f>
        <v>#NAME?</v>
      </c>
      <c r="E56" s="14" t="s">
        <v>146</v>
      </c>
      <c r="F56" s="13"/>
      <c r="G56" s="76"/>
      <c r="H56" s="76"/>
      <c r="I56" s="77"/>
      <c r="J56" s="76"/>
      <c r="K56" s="30" t="s">
        <v>147</v>
      </c>
      <c r="L56" s="24"/>
    </row>
    <row r="57" spans="1:12" ht="100.05" customHeight="1" x14ac:dyDescent="0.25">
      <c r="A57" s="11">
        <v>10</v>
      </c>
      <c r="B57" s="12" t="s">
        <v>40</v>
      </c>
      <c r="C57" s="12" t="s">
        <v>21</v>
      </c>
      <c r="D57" s="13" t="e" vm="1">
        <f ca="1">_xlfn.DISPIMG("ID_554BDDDDEF9D42EAB18AC37E92295287",1)</f>
        <v>#NAME?</v>
      </c>
      <c r="E57" s="14" t="s">
        <v>148</v>
      </c>
      <c r="F57" s="13"/>
      <c r="G57" s="24"/>
      <c r="H57" s="24"/>
      <c r="I57" s="24"/>
      <c r="J57" s="24"/>
      <c r="K57" s="25"/>
      <c r="L57" s="24"/>
    </row>
    <row r="58" spans="1:12" ht="19.95" customHeight="1" x14ac:dyDescent="0.25">
      <c r="A58" s="86" t="s">
        <v>149</v>
      </c>
      <c r="B58" s="84"/>
      <c r="C58" s="84"/>
      <c r="D58" s="84"/>
      <c r="E58" s="108"/>
      <c r="F58" s="84"/>
      <c r="G58" s="83" t="s">
        <v>149</v>
      </c>
      <c r="H58" s="84"/>
      <c r="I58" s="84"/>
      <c r="J58" s="84"/>
      <c r="K58" s="108"/>
      <c r="L58" s="84"/>
    </row>
    <row r="59" spans="1:12" ht="100.05" customHeight="1" x14ac:dyDescent="0.25">
      <c r="A59" s="11">
        <v>1</v>
      </c>
      <c r="B59" s="12" t="s">
        <v>13</v>
      </c>
      <c r="C59" s="53" t="s">
        <v>490</v>
      </c>
      <c r="D59" s="13" t="e" vm="1">
        <f ca="1">_xlfn.DISPIMG("ID_1519A3BDB14D424A8E53F3C6CEEF2F52",1)</f>
        <v>#NAME?</v>
      </c>
      <c r="E59" s="14" t="s">
        <v>151</v>
      </c>
      <c r="F59" s="13"/>
      <c r="G59" s="11">
        <v>1</v>
      </c>
      <c r="H59" s="12" t="s">
        <v>153</v>
      </c>
      <c r="I59" s="13" t="e" vm="1">
        <f ca="1">_xlfn.DISPIMG("ID_54B60F202A354944B3F0AED20CA75F93",1)</f>
        <v>#NAME?</v>
      </c>
      <c r="J59" s="12" t="s">
        <v>154</v>
      </c>
      <c r="K59" s="14" t="s">
        <v>155</v>
      </c>
      <c r="L59" s="24"/>
    </row>
    <row r="60" spans="1:12" ht="100.05" customHeight="1" x14ac:dyDescent="0.25">
      <c r="A60" s="11">
        <v>2</v>
      </c>
      <c r="B60" s="12" t="s">
        <v>157</v>
      </c>
      <c r="C60" s="12" t="s">
        <v>158</v>
      </c>
      <c r="D60" s="13" t="e" vm="1">
        <f ca="1">_xlfn.DISPIMG("ID_CA95FB3955A54369AB814C3BF07D73B1",1)</f>
        <v>#NAME?</v>
      </c>
      <c r="E60" s="14" t="s">
        <v>159</v>
      </c>
      <c r="F60" s="13"/>
      <c r="G60" s="11">
        <v>2</v>
      </c>
      <c r="H60" s="12" t="s">
        <v>20</v>
      </c>
      <c r="I60" s="13" t="e" vm="1">
        <f ca="1">_xlfn.DISPIMG("ID_68204D9155CD4684BE71703C41494249",1)</f>
        <v>#NAME?</v>
      </c>
      <c r="J60" s="12" t="s">
        <v>24</v>
      </c>
      <c r="K60" s="14" t="s">
        <v>160</v>
      </c>
      <c r="L60" s="24"/>
    </row>
    <row r="61" spans="1:12" ht="100.05" customHeight="1" x14ac:dyDescent="0.25">
      <c r="A61" s="11">
        <v>3</v>
      </c>
      <c r="B61" s="12" t="s">
        <v>13</v>
      </c>
      <c r="C61" s="12" t="s">
        <v>161</v>
      </c>
      <c r="D61" s="13" t="e" vm="1">
        <f ca="1">_xlfn.DISPIMG("ID_EA72899651804638B842E751D8DBC467",1)</f>
        <v>#NAME?</v>
      </c>
      <c r="E61" s="14" t="s">
        <v>162</v>
      </c>
      <c r="F61" s="13"/>
      <c r="G61" s="11">
        <v>3</v>
      </c>
      <c r="H61" s="12" t="s">
        <v>163</v>
      </c>
      <c r="I61" s="13" t="e" vm="1">
        <f ca="1">_xlfn.DISPIMG("ID_47DC7A8132DB4A589D715B36BB8C70B7",1)</f>
        <v>#NAME?</v>
      </c>
      <c r="J61" s="12" t="s">
        <v>164</v>
      </c>
      <c r="K61" s="14" t="s">
        <v>69</v>
      </c>
      <c r="L61" s="24"/>
    </row>
    <row r="62" spans="1:12" ht="100.05" customHeight="1" x14ac:dyDescent="0.25">
      <c r="A62" s="11">
        <v>4</v>
      </c>
      <c r="B62" s="12" t="s">
        <v>20</v>
      </c>
      <c r="C62" s="12" t="s">
        <v>21</v>
      </c>
      <c r="D62" s="13" t="e" vm="1">
        <f ca="1">_xlfn.DISPIMG("ID_64B88647BBE247098D06E0C2753AD67E",1)</f>
        <v>#NAME?</v>
      </c>
      <c r="E62" s="14" t="s">
        <v>165</v>
      </c>
      <c r="F62" s="13"/>
      <c r="G62" s="11">
        <v>1</v>
      </c>
      <c r="H62" s="12" t="s">
        <v>166</v>
      </c>
      <c r="I62" s="13" t="e" vm="1">
        <f ca="1">_xlfn.DISPIMG("ID_1160AE73EAEC4D1EB2ED865B67743C37",1)</f>
        <v>#NAME?</v>
      </c>
      <c r="J62" s="12" t="s">
        <v>167</v>
      </c>
      <c r="K62" s="14" t="s">
        <v>69</v>
      </c>
      <c r="L62" s="75" t="s">
        <v>168</v>
      </c>
    </row>
    <row r="63" spans="1:12" ht="100.05" customHeight="1" x14ac:dyDescent="0.25">
      <c r="A63" s="11">
        <v>5</v>
      </c>
      <c r="B63" s="12" t="s">
        <v>169</v>
      </c>
      <c r="C63" s="12" t="s">
        <v>170</v>
      </c>
      <c r="D63" s="13" t="e" vm="1">
        <f ca="1">_xlfn.DISPIMG("ID_89FFD8D4637D4ECCB398AF1C59B351BC",1)</f>
        <v>#NAME?</v>
      </c>
      <c r="E63" s="14" t="s">
        <v>159</v>
      </c>
      <c r="F63" s="13"/>
      <c r="G63" s="11">
        <v>2</v>
      </c>
      <c r="H63" s="12" t="s">
        <v>166</v>
      </c>
      <c r="I63" s="13" t="e" vm="1">
        <f ca="1">_xlfn.DISPIMG("ID_A634852F2C8B4A1FB037CD35326DBDED",1)</f>
        <v>#NAME?</v>
      </c>
      <c r="J63" s="12" t="s">
        <v>171</v>
      </c>
      <c r="K63" s="14" t="s">
        <v>69</v>
      </c>
      <c r="L63" s="75"/>
    </row>
    <row r="64" spans="1:12" ht="100.05" customHeight="1" x14ac:dyDescent="0.25">
      <c r="A64" s="11">
        <v>6</v>
      </c>
      <c r="B64" s="12" t="s">
        <v>31</v>
      </c>
      <c r="C64" s="12" t="s">
        <v>172</v>
      </c>
      <c r="D64" s="13" t="e" vm="1">
        <f ca="1">_xlfn.DISPIMG("ID_6EA8A05AA8724A99A9C85EB239DEEF73",1)</f>
        <v>#NAME?</v>
      </c>
      <c r="E64" s="14" t="s">
        <v>173</v>
      </c>
      <c r="F64" s="13"/>
      <c r="G64" s="24"/>
      <c r="H64" s="24"/>
      <c r="I64" s="24"/>
      <c r="J64" s="24"/>
      <c r="K64" s="25"/>
      <c r="L64" s="24"/>
    </row>
    <row r="65" spans="1:12" ht="100.05" customHeight="1" x14ac:dyDescent="0.25">
      <c r="A65" s="11">
        <v>7</v>
      </c>
      <c r="B65" s="12" t="s">
        <v>174</v>
      </c>
      <c r="C65" s="12" t="s">
        <v>175</v>
      </c>
      <c r="D65" s="13" t="e" vm="1">
        <f ca="1">_xlfn.DISPIMG("ID_949CED0D68E9494BB65238DE97408E6A",1)</f>
        <v>#NAME?</v>
      </c>
      <c r="E65" s="14" t="s">
        <v>176</v>
      </c>
      <c r="F65" s="13"/>
      <c r="G65" s="24"/>
      <c r="H65" s="24"/>
      <c r="I65" s="24"/>
      <c r="J65" s="24"/>
      <c r="K65" s="25"/>
      <c r="L65" s="24"/>
    </row>
    <row r="66" spans="1:12" ht="100.05" customHeight="1" x14ac:dyDescent="0.25">
      <c r="A66" s="11">
        <v>8</v>
      </c>
      <c r="B66" s="12" t="s">
        <v>177</v>
      </c>
      <c r="C66" s="12" t="s">
        <v>21</v>
      </c>
      <c r="D66" s="13" t="e" vm="1">
        <f ca="1">_xlfn.DISPIMG("ID_E0E6702AF6164072B2835A9376EFCCAE",1)</f>
        <v>#NAME?</v>
      </c>
      <c r="E66" s="14" t="s">
        <v>178</v>
      </c>
      <c r="F66" s="13"/>
      <c r="G66" s="24"/>
      <c r="H66" s="24"/>
      <c r="I66" s="24"/>
      <c r="J66" s="24"/>
      <c r="K66" s="25"/>
      <c r="L66" s="24"/>
    </row>
    <row r="67" spans="1:12" ht="19.95" customHeight="1" x14ac:dyDescent="0.25">
      <c r="A67" s="86" t="s">
        <v>179</v>
      </c>
      <c r="B67" s="84"/>
      <c r="C67" s="84"/>
      <c r="D67" s="84"/>
      <c r="E67" s="108"/>
      <c r="F67" s="84"/>
      <c r="G67" s="83" t="s">
        <v>179</v>
      </c>
      <c r="H67" s="84"/>
      <c r="I67" s="84"/>
      <c r="J67" s="84"/>
      <c r="K67" s="108"/>
      <c r="L67" s="84"/>
    </row>
    <row r="68" spans="1:12" ht="100.05" customHeight="1" x14ac:dyDescent="0.25">
      <c r="A68" s="11">
        <v>1</v>
      </c>
      <c r="B68" s="12" t="s">
        <v>180</v>
      </c>
      <c r="C68" s="12" t="s">
        <v>181</v>
      </c>
      <c r="D68" s="13" t="e" vm="1">
        <f ca="1">_xlfn.DISPIMG("ID_6C1B24E15BF44D56928F5B172B1AF163",1)</f>
        <v>#NAME?</v>
      </c>
      <c r="E68" s="14" t="s">
        <v>182</v>
      </c>
      <c r="F68" s="12" t="s">
        <v>183</v>
      </c>
      <c r="G68" s="11">
        <v>1</v>
      </c>
      <c r="H68" s="12" t="s">
        <v>184</v>
      </c>
      <c r="I68" s="13" t="e" vm="1">
        <f ca="1">_xlfn.DISPIMG("ID_B03600B2CE59458B9F8BD861F11DF4F5",1)</f>
        <v>#NAME?</v>
      </c>
      <c r="J68" s="12" t="s">
        <v>185</v>
      </c>
      <c r="K68" s="14" t="s">
        <v>186</v>
      </c>
      <c r="L68" s="76" t="s">
        <v>187</v>
      </c>
    </row>
    <row r="69" spans="1:12" ht="100.05" customHeight="1" x14ac:dyDescent="0.25">
      <c r="A69" s="11">
        <v>2</v>
      </c>
      <c r="B69" s="12" t="s">
        <v>180</v>
      </c>
      <c r="C69" s="12" t="s">
        <v>188</v>
      </c>
      <c r="D69" s="13" t="e" vm="1">
        <f ca="1">_xlfn.DISPIMG("ID_5384451FD0F943C5921E2EDAA5A4F6CD",1)</f>
        <v>#NAME?</v>
      </c>
      <c r="E69" s="14" t="s">
        <v>182</v>
      </c>
      <c r="F69" s="12" t="s">
        <v>189</v>
      </c>
      <c r="G69" s="11">
        <v>2</v>
      </c>
      <c r="H69" s="12" t="s">
        <v>190</v>
      </c>
      <c r="I69" s="13" t="e" vm="1">
        <f ca="1">_xlfn.DISPIMG("ID_DA69EFE9C61C4054861763F2B1A43DE4",1)</f>
        <v>#NAME?</v>
      </c>
      <c r="J69" s="12" t="s">
        <v>21</v>
      </c>
      <c r="K69" s="14" t="s">
        <v>191</v>
      </c>
      <c r="L69" s="76"/>
    </row>
    <row r="70" spans="1:12" ht="100.05" customHeight="1" x14ac:dyDescent="0.25">
      <c r="A70" s="11">
        <v>3</v>
      </c>
      <c r="B70" s="12" t="s">
        <v>192</v>
      </c>
      <c r="C70" s="12" t="s">
        <v>21</v>
      </c>
      <c r="D70" s="13" t="e" vm="1">
        <f ca="1">_xlfn.DISPIMG("ID_83B2489083AA4767A426B9AD0833C176",1)</f>
        <v>#NAME?</v>
      </c>
      <c r="E70" s="14" t="s">
        <v>193</v>
      </c>
      <c r="F70" s="12" t="s">
        <v>194</v>
      </c>
      <c r="G70" s="87">
        <v>3</v>
      </c>
      <c r="H70" s="78" t="s">
        <v>195</v>
      </c>
      <c r="I70" s="77" t="e" vm="1">
        <f ca="1">_xlfn.DISPIMG("ID_B3633DB99DA94034BE8BC6FAD493BDE6",1)</f>
        <v>#NAME?</v>
      </c>
      <c r="J70" s="12" t="s">
        <v>196</v>
      </c>
      <c r="K70" s="113" t="s">
        <v>197</v>
      </c>
      <c r="L70" s="76"/>
    </row>
    <row r="71" spans="1:12" ht="100.05" customHeight="1" x14ac:dyDescent="0.25">
      <c r="A71" s="11">
        <v>4</v>
      </c>
      <c r="B71" s="12" t="s">
        <v>180</v>
      </c>
      <c r="C71" s="12" t="s">
        <v>188</v>
      </c>
      <c r="D71" s="13" t="e" vm="1">
        <f ca="1">_xlfn.DISPIMG("ID_302FB4AE5FDE4D1682E5141CB5365B29",1)</f>
        <v>#NAME?</v>
      </c>
      <c r="E71" s="14" t="s">
        <v>198</v>
      </c>
      <c r="F71" s="12" t="s">
        <v>199</v>
      </c>
      <c r="G71" s="76"/>
      <c r="H71" s="76"/>
      <c r="I71" s="77"/>
      <c r="J71" s="12" t="s">
        <v>200</v>
      </c>
      <c r="K71" s="114"/>
      <c r="L71" s="76"/>
    </row>
    <row r="72" spans="1:12" ht="100.05" customHeight="1" x14ac:dyDescent="0.25">
      <c r="A72" s="11">
        <v>5</v>
      </c>
      <c r="B72" s="12" t="s">
        <v>180</v>
      </c>
      <c r="C72" s="53" t="s">
        <v>494</v>
      </c>
      <c r="D72" s="13" t="e" vm="1">
        <f ca="1">_xlfn.DISPIMG("ID_755C96FA54D543A6BB705AB14540DDBA",1)</f>
        <v>#NAME?</v>
      </c>
      <c r="E72" s="14" t="s">
        <v>198</v>
      </c>
      <c r="F72" s="12" t="s">
        <v>202</v>
      </c>
      <c r="G72" s="11">
        <v>4</v>
      </c>
      <c r="H72" s="12" t="s">
        <v>203</v>
      </c>
      <c r="I72" s="13" t="e" vm="1">
        <f ca="1">_xlfn.DISPIMG("ID_36FDF7EAFBA74705BA685380A9E5C7B9",1)</f>
        <v>#NAME?</v>
      </c>
      <c r="J72" s="12" t="s">
        <v>21</v>
      </c>
      <c r="K72" s="14" t="s">
        <v>186</v>
      </c>
      <c r="L72" s="76"/>
    </row>
    <row r="73" spans="1:12" ht="100.05" customHeight="1" x14ac:dyDescent="0.25">
      <c r="A73" s="11">
        <v>6</v>
      </c>
      <c r="B73" s="12" t="s">
        <v>192</v>
      </c>
      <c r="C73" s="12" t="s">
        <v>21</v>
      </c>
      <c r="D73" s="13" t="e" vm="1">
        <f ca="1">_xlfn.DISPIMG("ID_246F832CCAAB4DC59B631FE019A5B62A",1)</f>
        <v>#NAME?</v>
      </c>
      <c r="E73" s="14" t="s">
        <v>178</v>
      </c>
      <c r="F73" s="13"/>
      <c r="G73" s="11">
        <v>5</v>
      </c>
      <c r="H73" s="12" t="s">
        <v>203</v>
      </c>
      <c r="I73" s="13" t="e" vm="1">
        <f ca="1">_xlfn.DISPIMG("ID_DAD4925C54EC464E874810237DFD168D",1)</f>
        <v>#NAME?</v>
      </c>
      <c r="J73" s="12" t="s">
        <v>21</v>
      </c>
      <c r="K73" s="14" t="s">
        <v>204</v>
      </c>
      <c r="L73" s="76"/>
    </row>
    <row r="74" spans="1:12" ht="100.05" customHeight="1" x14ac:dyDescent="0.25">
      <c r="A74" s="11">
        <v>7</v>
      </c>
      <c r="B74" s="12" t="s">
        <v>180</v>
      </c>
      <c r="C74" s="12" t="s">
        <v>205</v>
      </c>
      <c r="D74" s="13" t="e" vm="1">
        <f ca="1">_xlfn.DISPIMG("ID_67969F64839D4703B13321454BB82153",1)</f>
        <v>#NAME?</v>
      </c>
      <c r="E74" s="14" t="s">
        <v>206</v>
      </c>
      <c r="F74" s="13"/>
      <c r="G74" s="11">
        <v>1</v>
      </c>
      <c r="H74" s="12" t="s">
        <v>180</v>
      </c>
      <c r="I74" s="13" t="e" vm="1">
        <f ca="1">_xlfn.DISPIMG("ID_BCCB40625A39475B80E3270BCC001F0D",1)</f>
        <v>#NAME?</v>
      </c>
      <c r="J74" s="12" t="s">
        <v>181</v>
      </c>
      <c r="K74" s="14" t="s">
        <v>19</v>
      </c>
      <c r="L74" s="75" t="s">
        <v>207</v>
      </c>
    </row>
    <row r="75" spans="1:12" ht="100.05" customHeight="1" x14ac:dyDescent="0.25">
      <c r="A75" s="11">
        <v>8</v>
      </c>
      <c r="B75" s="12" t="s">
        <v>192</v>
      </c>
      <c r="C75" s="12" t="s">
        <v>21</v>
      </c>
      <c r="D75" s="13" t="e" vm="1">
        <f ca="1">_xlfn.DISPIMG("ID_C41CE0D020584A6EA1761F127C1D3085",1)</f>
        <v>#NAME?</v>
      </c>
      <c r="E75" s="14" t="s">
        <v>208</v>
      </c>
      <c r="F75" s="13"/>
      <c r="G75" s="11">
        <v>2</v>
      </c>
      <c r="H75" s="12" t="s">
        <v>192</v>
      </c>
      <c r="I75" s="13" t="e" vm="1">
        <f ca="1">_xlfn.DISPIMG("ID_685563378A3842729969DFE66649A607",1)</f>
        <v>#NAME?</v>
      </c>
      <c r="J75" s="12" t="s">
        <v>21</v>
      </c>
      <c r="K75" s="14" t="s">
        <v>209</v>
      </c>
      <c r="L75" s="75"/>
    </row>
    <row r="76" spans="1:12" ht="100.05" customHeight="1" x14ac:dyDescent="0.25">
      <c r="A76" s="11">
        <v>9</v>
      </c>
      <c r="B76" s="12" t="s">
        <v>195</v>
      </c>
      <c r="C76" s="12" t="s">
        <v>210</v>
      </c>
      <c r="D76" s="13" t="e" vm="1">
        <f ca="1">_xlfn.DISPIMG("ID_B93735FAC6F54A2880FEDE5411AEEAFC",1)</f>
        <v>#NAME?</v>
      </c>
      <c r="E76" s="14" t="s">
        <v>56</v>
      </c>
      <c r="F76" s="13"/>
      <c r="G76" s="11">
        <v>1</v>
      </c>
      <c r="H76" s="12" t="s">
        <v>180</v>
      </c>
      <c r="I76" s="13" t="e" vm="1">
        <f ca="1">_xlfn.DISPIMG("ID_871D21583A504E9F9CF80397DEE9D018",1)</f>
        <v>#NAME?</v>
      </c>
      <c r="J76" s="12" t="s">
        <v>211</v>
      </c>
      <c r="K76" s="14" t="s">
        <v>197</v>
      </c>
      <c r="L76" s="75" t="s">
        <v>212</v>
      </c>
    </row>
    <row r="77" spans="1:12" ht="100.05" customHeight="1" x14ac:dyDescent="0.25">
      <c r="A77" s="11">
        <v>10</v>
      </c>
      <c r="B77" s="12" t="s">
        <v>192</v>
      </c>
      <c r="C77" s="12" t="s">
        <v>21</v>
      </c>
      <c r="D77" s="13" t="e" vm="1">
        <f ca="1">_xlfn.DISPIMG("ID_08BC7D64F96243859A537AA4052F805E",1)</f>
        <v>#NAME?</v>
      </c>
      <c r="E77" s="14" t="s">
        <v>208</v>
      </c>
      <c r="F77" s="13"/>
      <c r="G77" s="11">
        <v>2</v>
      </c>
      <c r="H77" s="12" t="s">
        <v>192</v>
      </c>
      <c r="I77" s="13" t="e" vm="1">
        <f ca="1">_xlfn.DISPIMG("ID_BF25884A2A364EF3AE4B6A160855938E",1)</f>
        <v>#NAME?</v>
      </c>
      <c r="J77" s="12" t="s">
        <v>21</v>
      </c>
      <c r="K77" s="14" t="s">
        <v>204</v>
      </c>
      <c r="L77" s="75"/>
    </row>
    <row r="78" spans="1:12" ht="100.05" customHeight="1" x14ac:dyDescent="0.25">
      <c r="A78" s="11">
        <v>11</v>
      </c>
      <c r="B78" s="12" t="s">
        <v>195</v>
      </c>
      <c r="C78" s="12" t="s">
        <v>213</v>
      </c>
      <c r="D78" s="13" t="e" vm="1">
        <f ca="1">_xlfn.DISPIMG("ID_136F7DC2AD1F4FFA9EC55EFE7BBA1AF0",1)</f>
        <v>#NAME?</v>
      </c>
      <c r="E78" s="14" t="s">
        <v>214</v>
      </c>
      <c r="F78" s="13"/>
      <c r="G78" s="24"/>
      <c r="H78" s="24"/>
      <c r="I78" s="24"/>
      <c r="J78" s="24"/>
      <c r="K78" s="25"/>
      <c r="L78" s="24"/>
    </row>
    <row r="79" spans="1:12" ht="100.05" customHeight="1" x14ac:dyDescent="0.25">
      <c r="A79" s="11">
        <v>12</v>
      </c>
      <c r="B79" s="12" t="s">
        <v>195</v>
      </c>
      <c r="C79" s="12" t="s">
        <v>215</v>
      </c>
      <c r="D79" s="13" t="e" vm="1">
        <f ca="1">_xlfn.DISPIMG("ID_FA5BCFE7A08B48A8867525E5E15912DC",1)</f>
        <v>#NAME?</v>
      </c>
      <c r="E79" s="14" t="s">
        <v>214</v>
      </c>
      <c r="F79" s="13"/>
      <c r="G79" s="24"/>
      <c r="H79" s="24"/>
      <c r="I79" s="24"/>
      <c r="J79" s="24"/>
      <c r="K79" s="25"/>
      <c r="L79" s="24"/>
    </row>
    <row r="80" spans="1:12" ht="100.05" customHeight="1" x14ac:dyDescent="0.25">
      <c r="A80" s="11">
        <v>13</v>
      </c>
      <c r="B80" s="12" t="s">
        <v>216</v>
      </c>
      <c r="C80" s="12" t="s">
        <v>21</v>
      </c>
      <c r="D80" s="13" t="e" vm="1">
        <f ca="1">_xlfn.DISPIMG("ID_57D99CFA74E84E6A9D38DD4F91BED37F",1)</f>
        <v>#NAME?</v>
      </c>
      <c r="E80" s="14" t="s">
        <v>217</v>
      </c>
      <c r="F80" s="13"/>
      <c r="G80" s="24"/>
      <c r="H80" s="24"/>
      <c r="I80" s="24"/>
      <c r="J80" s="24"/>
      <c r="K80" s="25"/>
      <c r="L80" s="24"/>
    </row>
    <row r="81" spans="1:12" ht="100.05" customHeight="1" x14ac:dyDescent="0.25">
      <c r="A81" s="11">
        <v>14</v>
      </c>
      <c r="B81" s="12" t="s">
        <v>216</v>
      </c>
      <c r="C81" s="12" t="s">
        <v>21</v>
      </c>
      <c r="D81" s="13" t="e" vm="1">
        <f ca="1">_xlfn.DISPIMG("ID_09019C7E766D41EEB4C22FE49A28E410",1)</f>
        <v>#NAME?</v>
      </c>
      <c r="E81" s="14" t="s">
        <v>218</v>
      </c>
      <c r="F81" s="13"/>
      <c r="G81" s="24"/>
      <c r="H81" s="24"/>
      <c r="I81" s="24"/>
      <c r="J81" s="24"/>
      <c r="K81" s="25"/>
      <c r="L81" s="24"/>
    </row>
    <row r="82" spans="1:12" ht="19.95" customHeight="1" x14ac:dyDescent="0.25">
      <c r="A82" s="86" t="s">
        <v>219</v>
      </c>
      <c r="B82" s="84"/>
      <c r="C82" s="84"/>
      <c r="D82" s="84"/>
      <c r="E82" s="108"/>
      <c r="F82" s="84"/>
      <c r="G82" s="83" t="s">
        <v>219</v>
      </c>
      <c r="H82" s="84"/>
      <c r="I82" s="84"/>
      <c r="J82" s="84"/>
      <c r="K82" s="108"/>
      <c r="L82" s="84"/>
    </row>
    <row r="83" spans="1:12" ht="100.05" customHeight="1" x14ac:dyDescent="0.25">
      <c r="A83" s="11">
        <v>1</v>
      </c>
      <c r="B83" s="12" t="s">
        <v>220</v>
      </c>
      <c r="C83" s="12" t="s">
        <v>221</v>
      </c>
      <c r="D83" s="13" t="e" vm="1">
        <f ca="1">_xlfn.DISPIMG("ID_29F2B250C4C24DF3A7DCD589E883856E",1)</f>
        <v>#NAME?</v>
      </c>
      <c r="E83" s="14" t="s">
        <v>222</v>
      </c>
      <c r="F83" s="12" t="s">
        <v>223</v>
      </c>
      <c r="G83" s="87">
        <v>1</v>
      </c>
      <c r="H83" s="12" t="s">
        <v>113</v>
      </c>
      <c r="I83" s="77" t="e" vm="1">
        <f ca="1">_xlfn.DISPIMG("ID_0550517128844CD280E32799DD8DD7F6",1)</f>
        <v>#NAME?</v>
      </c>
      <c r="J83" s="12" t="s">
        <v>114</v>
      </c>
      <c r="K83" s="113" t="s">
        <v>47</v>
      </c>
      <c r="L83" s="75" t="s">
        <v>224</v>
      </c>
    </row>
    <row r="84" spans="1:12" ht="100.05" customHeight="1" x14ac:dyDescent="0.25">
      <c r="A84" s="11">
        <v>2</v>
      </c>
      <c r="B84" s="12" t="s">
        <v>225</v>
      </c>
      <c r="C84" s="12" t="s">
        <v>226</v>
      </c>
      <c r="D84" s="13" t="e" vm="1">
        <f ca="1">_xlfn.DISPIMG("ID_F5D4DBF2BA834C94A0C647A7E8A5F602",1)</f>
        <v>#NAME?</v>
      </c>
      <c r="E84" s="14" t="s">
        <v>222</v>
      </c>
      <c r="F84" s="12" t="s">
        <v>223</v>
      </c>
      <c r="G84" s="76"/>
      <c r="H84" s="12" t="s">
        <v>227</v>
      </c>
      <c r="I84" s="77"/>
      <c r="J84" s="12" t="s">
        <v>228</v>
      </c>
      <c r="K84" s="114"/>
      <c r="L84" s="75"/>
    </row>
    <row r="85" spans="1:12" ht="100.05" customHeight="1" x14ac:dyDescent="0.25">
      <c r="A85" s="11">
        <v>3</v>
      </c>
      <c r="B85" s="12" t="s">
        <v>51</v>
      </c>
      <c r="C85" s="53" t="s">
        <v>495</v>
      </c>
      <c r="D85" s="13" t="e" vm="1">
        <f ca="1">_xlfn.DISPIMG("ID_9A920A5A59B948E985EFDFD0DC23B02B",1)</f>
        <v>#NAME?</v>
      </c>
      <c r="E85" s="14" t="s">
        <v>230</v>
      </c>
      <c r="F85" s="13"/>
      <c r="G85" s="76"/>
      <c r="H85" s="12" t="s">
        <v>53</v>
      </c>
      <c r="I85" s="77"/>
      <c r="J85" s="12" t="s">
        <v>231</v>
      </c>
      <c r="K85" s="114"/>
      <c r="L85" s="75"/>
    </row>
    <row r="86" spans="1:12" ht="100.05" customHeight="1" x14ac:dyDescent="0.25">
      <c r="A86" s="11">
        <v>4</v>
      </c>
      <c r="B86" s="12" t="s">
        <v>54</v>
      </c>
      <c r="C86" s="12" t="s">
        <v>232</v>
      </c>
      <c r="D86" s="13" t="e" vm="1">
        <f ca="1">_xlfn.DISPIMG("ID_737F7C830EBB4B798A7D53E0EECD1707",1)</f>
        <v>#NAME?</v>
      </c>
      <c r="E86" s="14" t="s">
        <v>233</v>
      </c>
      <c r="F86" s="12" t="s">
        <v>223</v>
      </c>
      <c r="G86" s="11">
        <v>2</v>
      </c>
      <c r="H86" s="12" t="s">
        <v>54</v>
      </c>
      <c r="I86" s="13" t="e" vm="1">
        <f ca="1">_xlfn.DISPIMG("ID_950A3C1F4AA74FAA8D2A6C06FF5BA978",1)</f>
        <v>#NAME?</v>
      </c>
      <c r="J86" s="12" t="s">
        <v>234</v>
      </c>
      <c r="K86" s="14" t="s">
        <v>235</v>
      </c>
      <c r="L86" s="75"/>
    </row>
    <row r="87" spans="1:12" ht="100.05" customHeight="1" x14ac:dyDescent="0.25">
      <c r="A87" s="11">
        <v>5</v>
      </c>
      <c r="B87" s="12" t="s">
        <v>236</v>
      </c>
      <c r="C87" s="12" t="s">
        <v>237</v>
      </c>
      <c r="D87" s="13" t="e" vm="1">
        <f ca="1">_xlfn.DISPIMG("ID_A023609E2F14444095A1F7895A79E209",1)</f>
        <v>#NAME?</v>
      </c>
      <c r="E87" s="14" t="s">
        <v>238</v>
      </c>
      <c r="F87" s="12" t="s">
        <v>223</v>
      </c>
      <c r="G87" s="11">
        <v>3</v>
      </c>
      <c r="H87" s="12" t="s">
        <v>61</v>
      </c>
      <c r="I87" s="13" t="e" vm="1">
        <f ca="1">_xlfn.DISPIMG("ID_1D4E36286E0047B2B2EEB2C4581EE748",1)</f>
        <v>#NAME?</v>
      </c>
      <c r="J87" s="12" t="s">
        <v>239</v>
      </c>
      <c r="K87" s="14" t="s">
        <v>235</v>
      </c>
      <c r="L87" s="75"/>
    </row>
    <row r="88" spans="1:12" ht="100.05" customHeight="1" x14ac:dyDescent="0.25">
      <c r="A88" s="24"/>
      <c r="B88" s="24"/>
      <c r="C88" s="24"/>
      <c r="D88" s="24"/>
      <c r="E88" s="25"/>
      <c r="F88" s="24"/>
      <c r="G88" s="11">
        <v>4</v>
      </c>
      <c r="H88" s="12" t="s">
        <v>240</v>
      </c>
      <c r="I88" s="77" t="e" vm="1">
        <f ca="1">_xlfn.DISPIMG("ID_71E83DBAD64D416DB414F92662099F9A",1)</f>
        <v>#NAME?</v>
      </c>
      <c r="J88" s="12" t="s">
        <v>241</v>
      </c>
      <c r="K88" s="14" t="s">
        <v>242</v>
      </c>
      <c r="L88" s="75"/>
    </row>
    <row r="89" spans="1:12" ht="100.05" customHeight="1" x14ac:dyDescent="0.25">
      <c r="A89" s="24"/>
      <c r="B89" s="24"/>
      <c r="C89" s="24"/>
      <c r="D89" s="24"/>
      <c r="E89" s="25"/>
      <c r="F89" s="24"/>
      <c r="G89" s="11">
        <v>5</v>
      </c>
      <c r="H89" s="12" t="s">
        <v>243</v>
      </c>
      <c r="I89" s="77"/>
      <c r="J89" s="12" t="s">
        <v>21</v>
      </c>
      <c r="K89" s="115" t="s">
        <v>244</v>
      </c>
      <c r="L89" s="75"/>
    </row>
    <row r="90" spans="1:12" ht="100.05" customHeight="1" x14ac:dyDescent="0.25">
      <c r="A90" s="24"/>
      <c r="B90" s="24"/>
      <c r="C90" s="24"/>
      <c r="D90" s="24"/>
      <c r="E90" s="25"/>
      <c r="F90" s="24"/>
      <c r="G90" s="11">
        <v>6</v>
      </c>
      <c r="H90" s="12" t="s">
        <v>245</v>
      </c>
      <c r="I90" s="77"/>
      <c r="J90" s="12" t="s">
        <v>21</v>
      </c>
      <c r="K90" s="116"/>
      <c r="L90" s="75"/>
    </row>
    <row r="91" spans="1:12" ht="100.05" customHeight="1" x14ac:dyDescent="0.25">
      <c r="A91" s="24"/>
      <c r="B91" s="24"/>
      <c r="C91" s="24"/>
      <c r="D91" s="24"/>
      <c r="E91" s="25"/>
      <c r="F91" s="24"/>
      <c r="G91" s="11">
        <v>1</v>
      </c>
      <c r="H91" s="12" t="s">
        <v>246</v>
      </c>
      <c r="I91" s="13" t="e" vm="1">
        <f ca="1">_xlfn.DISPIMG("ID_9D2912C81F674DCA9F5286F4D4867ED1",1)</f>
        <v>#NAME?</v>
      </c>
      <c r="J91" s="12" t="s">
        <v>247</v>
      </c>
      <c r="K91" s="14" t="s">
        <v>248</v>
      </c>
      <c r="L91" s="75" t="s">
        <v>249</v>
      </c>
    </row>
    <row r="92" spans="1:12" ht="100.05" customHeight="1" x14ac:dyDescent="0.25">
      <c r="A92" s="24"/>
      <c r="B92" s="24"/>
      <c r="C92" s="24"/>
      <c r="D92" s="24"/>
      <c r="E92" s="25"/>
      <c r="F92" s="24"/>
      <c r="G92" s="11">
        <v>2</v>
      </c>
      <c r="H92" s="12" t="s">
        <v>250</v>
      </c>
      <c r="I92" s="13" t="e" vm="1">
        <f ca="1">_xlfn.DISPIMG("ID_40B4C62FE5244EB384F44C28F60642E3",1)</f>
        <v>#NAME?</v>
      </c>
      <c r="J92" s="12" t="s">
        <v>251</v>
      </c>
      <c r="K92" s="14" t="s">
        <v>19</v>
      </c>
      <c r="L92" s="75"/>
    </row>
    <row r="93" spans="1:12" ht="19.95" customHeight="1" x14ac:dyDescent="0.25">
      <c r="A93" s="86" t="s">
        <v>252</v>
      </c>
      <c r="B93" s="84"/>
      <c r="C93" s="84"/>
      <c r="D93" s="84"/>
      <c r="E93" s="108"/>
      <c r="F93" s="84"/>
      <c r="G93" s="83" t="s">
        <v>252</v>
      </c>
      <c r="H93" s="84"/>
      <c r="I93" s="84"/>
      <c r="J93" s="84"/>
      <c r="K93" s="108"/>
      <c r="L93" s="84"/>
    </row>
    <row r="94" spans="1:12" ht="100.05" customHeight="1" x14ac:dyDescent="0.25">
      <c r="A94" s="11">
        <v>1</v>
      </c>
      <c r="B94" s="12" t="s">
        <v>253</v>
      </c>
      <c r="C94" s="12" t="s">
        <v>254</v>
      </c>
      <c r="D94" s="13" t="e" vm="1">
        <f ca="1">_xlfn.DISPIMG("ID_251D7462A81547FB8C85F8F3CDE32BA8",1)</f>
        <v>#NAME?</v>
      </c>
      <c r="E94" s="14" t="s">
        <v>255</v>
      </c>
      <c r="F94" s="12" t="s">
        <v>256</v>
      </c>
      <c r="G94" s="11">
        <v>1</v>
      </c>
      <c r="H94" s="12" t="s">
        <v>257</v>
      </c>
      <c r="I94" s="13" t="e" vm="1">
        <f ca="1">_xlfn.DISPIMG("ID_88E0BF13EB1B42509C64F8D30D3956BE",1)</f>
        <v>#NAME?</v>
      </c>
      <c r="J94" s="12" t="s">
        <v>258</v>
      </c>
      <c r="K94" s="14" t="s">
        <v>259</v>
      </c>
      <c r="L94" s="24"/>
    </row>
    <row r="95" spans="1:12" ht="100.05" customHeight="1" x14ac:dyDescent="0.25">
      <c r="A95" s="11">
        <v>2</v>
      </c>
      <c r="B95" s="12" t="s">
        <v>260</v>
      </c>
      <c r="C95" s="12" t="s">
        <v>21</v>
      </c>
      <c r="D95" s="13" t="e" vm="1">
        <f ca="1">_xlfn.DISPIMG("ID_F3C31F9317BD4DCF99E88AB6F00FCAB7",1)</f>
        <v>#NAME?</v>
      </c>
      <c r="E95" s="14" t="s">
        <v>261</v>
      </c>
      <c r="F95" s="12" t="s">
        <v>256</v>
      </c>
      <c r="G95" s="11">
        <v>2</v>
      </c>
      <c r="H95" s="12" t="s">
        <v>262</v>
      </c>
      <c r="I95" s="13" t="e" vm="1">
        <f ca="1">_xlfn.DISPIMG("ID_591C615A8C554FDDA478939FE679520D",1)</f>
        <v>#NAME?</v>
      </c>
      <c r="J95" s="12" t="s">
        <v>263</v>
      </c>
      <c r="K95" s="14" t="s">
        <v>36</v>
      </c>
      <c r="L95" s="24"/>
    </row>
    <row r="96" spans="1:12" ht="100.05" customHeight="1" x14ac:dyDescent="0.25">
      <c r="A96" s="11">
        <v>3</v>
      </c>
      <c r="B96" s="12" t="s">
        <v>264</v>
      </c>
      <c r="C96" s="54" t="s">
        <v>498</v>
      </c>
      <c r="D96" s="13" t="e" vm="1">
        <f ca="1">_xlfn.DISPIMG("ID_B4356DFA361343929182C190331BB41B",1)</f>
        <v>#NAME?</v>
      </c>
      <c r="E96" s="14" t="s">
        <v>266</v>
      </c>
      <c r="F96" s="12" t="s">
        <v>256</v>
      </c>
      <c r="G96" s="11">
        <v>3</v>
      </c>
      <c r="H96" s="12" t="s">
        <v>267</v>
      </c>
      <c r="I96" s="13" t="e" vm="1">
        <f ca="1">_xlfn.DISPIMG("ID_142E69334750474DB02C9987B75CCBAE",1)</f>
        <v>#NAME?</v>
      </c>
      <c r="J96" s="12" t="s">
        <v>268</v>
      </c>
      <c r="K96" s="14" t="s">
        <v>269</v>
      </c>
      <c r="L96" s="24"/>
    </row>
    <row r="97" spans="1:12" ht="100.05" customHeight="1" x14ac:dyDescent="0.25">
      <c r="A97" s="11">
        <v>4</v>
      </c>
      <c r="B97" s="12" t="s">
        <v>270</v>
      </c>
      <c r="C97" s="12" t="s">
        <v>271</v>
      </c>
      <c r="D97" s="13" t="e" vm="1">
        <f ca="1">_xlfn.DISPIMG("ID_B49AC095CCF945C0ABF2DCE986C5AB60",1)</f>
        <v>#NAME?</v>
      </c>
      <c r="E97" s="14" t="s">
        <v>272</v>
      </c>
      <c r="F97" s="12" t="s">
        <v>256</v>
      </c>
      <c r="G97" s="11">
        <v>4</v>
      </c>
      <c r="H97" s="12" t="s">
        <v>273</v>
      </c>
      <c r="I97" s="13" t="e" vm="1">
        <f ca="1">_xlfn.DISPIMG("ID_51BE05DFDCD64E98BDD65A19319BA907",1)</f>
        <v>#NAME?</v>
      </c>
      <c r="J97" s="12" t="s">
        <v>21</v>
      </c>
      <c r="K97" s="14" t="s">
        <v>41</v>
      </c>
      <c r="L97" s="24"/>
    </row>
    <row r="98" spans="1:12" ht="100.05" customHeight="1" x14ac:dyDescent="0.25">
      <c r="A98" s="11">
        <v>5</v>
      </c>
      <c r="B98" s="12" t="s">
        <v>273</v>
      </c>
      <c r="C98" s="12" t="s">
        <v>21</v>
      </c>
      <c r="D98" s="13" t="e" vm="1">
        <f ca="1">_xlfn.DISPIMG("ID_EDC6F014BB1046C691E03F9500A5391E",1)</f>
        <v>#NAME?</v>
      </c>
      <c r="E98" s="14" t="s">
        <v>274</v>
      </c>
      <c r="F98" s="12" t="s">
        <v>256</v>
      </c>
      <c r="G98" s="11">
        <v>5</v>
      </c>
      <c r="H98" s="12" t="s">
        <v>275</v>
      </c>
      <c r="I98" s="13" t="e" vm="1">
        <f ca="1">_xlfn.DISPIMG("ID_57A5BDF33CFF41A8A4DE7B102D8F946D",1)</f>
        <v>#NAME?</v>
      </c>
      <c r="J98" s="12" t="s">
        <v>276</v>
      </c>
      <c r="K98" s="14" t="s">
        <v>36</v>
      </c>
      <c r="L98" s="24"/>
    </row>
    <row r="99" spans="1:12" ht="100.05" customHeight="1" x14ac:dyDescent="0.25">
      <c r="A99" s="11">
        <v>6</v>
      </c>
      <c r="B99" s="12" t="s">
        <v>42</v>
      </c>
      <c r="C99" s="12" t="s">
        <v>107</v>
      </c>
      <c r="D99" s="13" t="e" vm="1">
        <f ca="1">_xlfn.DISPIMG("ID_D7CCCE04CCB64EF5B1B3B77879E7D831",1)</f>
        <v>#NAME?</v>
      </c>
      <c r="E99" s="117" t="s">
        <v>277</v>
      </c>
      <c r="F99" s="12" t="s">
        <v>278</v>
      </c>
      <c r="G99" s="11">
        <v>6</v>
      </c>
      <c r="H99" s="12" t="s">
        <v>279</v>
      </c>
      <c r="I99" s="13" t="e" vm="1">
        <f ca="1">_xlfn.DISPIMG("ID_501BA3623F7143569D077BEB05A0601E",1)</f>
        <v>#NAME?</v>
      </c>
      <c r="J99" s="12" t="s">
        <v>21</v>
      </c>
      <c r="K99" s="32" t="s">
        <v>280</v>
      </c>
      <c r="L99" s="24"/>
    </row>
    <row r="100" spans="1:12" ht="100.05" customHeight="1" x14ac:dyDescent="0.25">
      <c r="A100" s="11">
        <v>7</v>
      </c>
      <c r="B100" s="12" t="s">
        <v>42</v>
      </c>
      <c r="C100" s="12" t="s">
        <v>281</v>
      </c>
      <c r="D100" s="13" t="e" vm="1">
        <f ca="1">_xlfn.DISPIMG("ID_06FEB9CC96A244BB91FCFFA3E3EA1F67",1)</f>
        <v>#NAME?</v>
      </c>
      <c r="E100" s="117"/>
      <c r="F100" s="12" t="s">
        <v>278</v>
      </c>
      <c r="G100" s="11">
        <v>1</v>
      </c>
      <c r="H100" s="12" t="s">
        <v>113</v>
      </c>
      <c r="I100" s="77" t="e" vm="1">
        <f ca="1">_xlfn.DISPIMG("ID_A829C8B40C964F99A3FBCA1F40B0D814",1)</f>
        <v>#NAME?</v>
      </c>
      <c r="J100" s="53" t="s">
        <v>478</v>
      </c>
      <c r="K100" s="113" t="s">
        <v>248</v>
      </c>
      <c r="L100" s="75" t="s">
        <v>282</v>
      </c>
    </row>
    <row r="101" spans="1:12" ht="100.05" customHeight="1" x14ac:dyDescent="0.25">
      <c r="A101" s="11">
        <v>8</v>
      </c>
      <c r="B101" s="12" t="s">
        <v>54</v>
      </c>
      <c r="C101" s="53" t="s">
        <v>489</v>
      </c>
      <c r="D101" s="13" t="e" vm="1">
        <f ca="1">_xlfn.DISPIMG("ID_45165D7339C24B2ABD4D0AC02E2B1DB0",1)</f>
        <v>#NAME?</v>
      </c>
      <c r="E101" s="14" t="s">
        <v>283</v>
      </c>
      <c r="F101" s="12" t="s">
        <v>278</v>
      </c>
      <c r="G101" s="11">
        <v>2</v>
      </c>
      <c r="H101" s="12" t="s">
        <v>49</v>
      </c>
      <c r="I101" s="77"/>
      <c r="J101" s="53" t="s">
        <v>496</v>
      </c>
      <c r="K101" s="114"/>
      <c r="L101" s="75"/>
    </row>
    <row r="102" spans="1:12" ht="100.05" customHeight="1" x14ac:dyDescent="0.25">
      <c r="A102" s="11">
        <v>9</v>
      </c>
      <c r="B102" s="12" t="s">
        <v>285</v>
      </c>
      <c r="C102" s="53" t="s">
        <v>497</v>
      </c>
      <c r="D102" s="13" t="e" vm="1">
        <f ca="1">_xlfn.DISPIMG("ID_69BEDB49A42B471FB9A9A1C7C6B097BD",1)</f>
        <v>#NAME?</v>
      </c>
      <c r="E102" s="14" t="s">
        <v>287</v>
      </c>
      <c r="F102" s="13"/>
      <c r="G102" s="11">
        <v>3</v>
      </c>
      <c r="H102" s="12" t="s">
        <v>288</v>
      </c>
      <c r="I102" s="77"/>
      <c r="J102" s="12" t="s">
        <v>21</v>
      </c>
      <c r="K102" s="114"/>
      <c r="L102" s="75"/>
    </row>
    <row r="103" spans="1:12" ht="100.05" customHeight="1" x14ac:dyDescent="0.25">
      <c r="A103" s="11">
        <v>10</v>
      </c>
      <c r="B103" s="12" t="s">
        <v>273</v>
      </c>
      <c r="C103" s="12" t="s">
        <v>289</v>
      </c>
      <c r="D103" s="13" t="e" vm="1">
        <f ca="1">_xlfn.DISPIMG("ID_F4BCF1DC25D64E96B0B45C071F6DAA65",1)</f>
        <v>#NAME?</v>
      </c>
      <c r="E103" s="14" t="s">
        <v>290</v>
      </c>
      <c r="F103" s="13"/>
      <c r="G103" s="11">
        <v>4</v>
      </c>
      <c r="H103" s="12" t="s">
        <v>291</v>
      </c>
      <c r="I103" s="77" t="e" vm="1">
        <f ca="1">_xlfn.DISPIMG("ID_E4C367CE0EAF46FB946FF90EA7FD7310",1)</f>
        <v>#NAME?</v>
      </c>
      <c r="J103" s="12" t="s">
        <v>292</v>
      </c>
      <c r="K103" s="113" t="s">
        <v>19</v>
      </c>
      <c r="L103" s="75"/>
    </row>
    <row r="104" spans="1:12" ht="100.05" customHeight="1" x14ac:dyDescent="0.25">
      <c r="A104" s="11">
        <v>11</v>
      </c>
      <c r="B104" s="12" t="s">
        <v>293</v>
      </c>
      <c r="C104" s="12" t="s">
        <v>294</v>
      </c>
      <c r="D104" s="13" t="e" vm="1">
        <f ca="1">_xlfn.DISPIMG("ID_5CF207C817644052812035A97E80030C",1)</f>
        <v>#NAME?</v>
      </c>
      <c r="E104" s="14" t="s">
        <v>295</v>
      </c>
      <c r="F104" s="13"/>
      <c r="G104" s="11">
        <v>5</v>
      </c>
      <c r="H104" s="12" t="s">
        <v>296</v>
      </c>
      <c r="I104" s="77"/>
      <c r="J104" s="12" t="s">
        <v>297</v>
      </c>
      <c r="K104" s="114"/>
      <c r="L104" s="75"/>
    </row>
    <row r="105" spans="1:12" ht="100.05" customHeight="1" x14ac:dyDescent="0.25">
      <c r="A105" s="11">
        <v>12</v>
      </c>
      <c r="B105" s="12" t="s">
        <v>273</v>
      </c>
      <c r="C105" s="12" t="s">
        <v>298</v>
      </c>
      <c r="D105" s="13" t="e" vm="1">
        <f ca="1">_xlfn.DISPIMG("ID_7DF4CD146A2F4A85A3ACC3DF2542BD3A",1)</f>
        <v>#NAME?</v>
      </c>
      <c r="E105" s="14" t="s">
        <v>299</v>
      </c>
      <c r="F105" s="13"/>
      <c r="G105" s="11">
        <v>1</v>
      </c>
      <c r="H105" s="12" t="s">
        <v>267</v>
      </c>
      <c r="I105" s="13" t="e" vm="1">
        <f ca="1">_xlfn.DISPIMG("ID_EC48D5B18857423E80F7FCAB5476BFD6",1)</f>
        <v>#NAME?</v>
      </c>
      <c r="J105" s="12" t="s">
        <v>268</v>
      </c>
      <c r="K105" s="14" t="s">
        <v>19</v>
      </c>
      <c r="L105" s="75" t="s">
        <v>300</v>
      </c>
    </row>
    <row r="106" spans="1:12" ht="100.05" customHeight="1" x14ac:dyDescent="0.25">
      <c r="A106" s="11">
        <v>13</v>
      </c>
      <c r="B106" s="12" t="s">
        <v>174</v>
      </c>
      <c r="C106" s="12" t="s">
        <v>265</v>
      </c>
      <c r="D106" s="13" t="e" vm="1">
        <f ca="1">_xlfn.DISPIMG("ID_F68810C176C74A6D8AA5F5BDCDB43C28",1)</f>
        <v>#NAME?</v>
      </c>
      <c r="E106" s="14" t="s">
        <v>266</v>
      </c>
      <c r="F106" s="13"/>
      <c r="G106" s="11">
        <v>2</v>
      </c>
      <c r="H106" s="12" t="s">
        <v>273</v>
      </c>
      <c r="I106" s="13" t="e" vm="1">
        <f ca="1">_xlfn.DISPIMG("ID_0EE4431A16E94AE7B6EE774B18213F5C",1)</f>
        <v>#NAME?</v>
      </c>
      <c r="J106" s="12" t="s">
        <v>21</v>
      </c>
      <c r="K106" s="14" t="s">
        <v>248</v>
      </c>
      <c r="L106" s="75"/>
    </row>
    <row r="107" spans="1:12" ht="19.95" customHeight="1" x14ac:dyDescent="0.25">
      <c r="A107" s="86" t="s">
        <v>301</v>
      </c>
      <c r="B107" s="84"/>
      <c r="C107" s="84"/>
      <c r="D107" s="84"/>
      <c r="E107" s="108"/>
      <c r="F107" s="84"/>
      <c r="G107" s="83" t="s">
        <v>301</v>
      </c>
      <c r="H107" s="84"/>
      <c r="I107" s="84"/>
      <c r="J107" s="84"/>
      <c r="K107" s="108"/>
      <c r="L107" s="84"/>
    </row>
    <row r="108" spans="1:12" ht="100.05" customHeight="1" x14ac:dyDescent="0.25">
      <c r="A108" s="11">
        <v>1</v>
      </c>
      <c r="B108" s="12" t="s">
        <v>302</v>
      </c>
      <c r="C108" s="12" t="s">
        <v>303</v>
      </c>
      <c r="D108" s="77" t="e" vm="1">
        <f ca="1">_xlfn.DISPIMG("ID_B35EF19424124C578A502BC49DD9262D",1)</f>
        <v>#NAME?</v>
      </c>
      <c r="E108" s="14" t="s">
        <v>304</v>
      </c>
      <c r="F108" s="24"/>
      <c r="G108" s="11">
        <v>1</v>
      </c>
      <c r="H108" s="12" t="s">
        <v>305</v>
      </c>
      <c r="I108" s="13" t="e" vm="1">
        <f ca="1">_xlfn.DISPIMG("ID_CCFDFF1F18074D30906C5721965E5388",1)</f>
        <v>#NAME?</v>
      </c>
      <c r="J108" s="12" t="s">
        <v>306</v>
      </c>
      <c r="K108" s="32" t="s">
        <v>307</v>
      </c>
      <c r="L108" s="24"/>
    </row>
    <row r="109" spans="1:12" ht="100.05" customHeight="1" x14ac:dyDescent="0.25">
      <c r="A109" s="11">
        <v>2</v>
      </c>
      <c r="B109" s="12" t="s">
        <v>33</v>
      </c>
      <c r="C109" s="12" t="s">
        <v>21</v>
      </c>
      <c r="D109" s="77"/>
      <c r="E109" s="14" t="s">
        <v>308</v>
      </c>
      <c r="F109" s="24"/>
      <c r="G109" s="11">
        <v>2</v>
      </c>
      <c r="H109" s="12" t="s">
        <v>309</v>
      </c>
      <c r="I109" s="13" t="e" vm="1">
        <f ca="1">_xlfn.DISPIMG("ID_C92DC1B6D2FF4EC9B40DE6F2B37D023F",1)</f>
        <v>#NAME?</v>
      </c>
      <c r="J109" s="12" t="s">
        <v>310</v>
      </c>
      <c r="K109" s="32" t="s">
        <v>311</v>
      </c>
      <c r="L109" s="24"/>
    </row>
    <row r="110" spans="1:12" ht="15.6" x14ac:dyDescent="0.25">
      <c r="A110" s="107" t="s">
        <v>381</v>
      </c>
      <c r="B110" s="84"/>
      <c r="C110" s="84"/>
      <c r="D110" s="84"/>
      <c r="E110" s="108"/>
      <c r="F110" s="84"/>
    </row>
    <row r="111" spans="1:12" ht="100.05" customHeight="1" x14ac:dyDescent="0.25">
      <c r="A111" s="45">
        <v>1</v>
      </c>
      <c r="B111" s="46" t="s">
        <v>382</v>
      </c>
      <c r="C111" s="46" t="s">
        <v>383</v>
      </c>
      <c r="D111" s="110" t="e" vm="1">
        <f ca="1">_xlfn.DISPIMG("ID_39AAC56C4CC94A6EBC55F8E9215F4B8D",1)</f>
        <v>#NAME?</v>
      </c>
      <c r="E111" s="104" t="s">
        <v>406</v>
      </c>
      <c r="F111" s="46" t="s">
        <v>384</v>
      </c>
      <c r="I111" s="5"/>
      <c r="K111" s="4"/>
    </row>
    <row r="112" spans="1:12" ht="100.05" customHeight="1" x14ac:dyDescent="0.25">
      <c r="A112" s="45">
        <v>2</v>
      </c>
      <c r="B112" s="46" t="s">
        <v>385</v>
      </c>
      <c r="C112" s="46" t="s">
        <v>386</v>
      </c>
      <c r="D112" s="110"/>
      <c r="E112" s="104"/>
      <c r="F112" s="46" t="s">
        <v>384</v>
      </c>
      <c r="I112" s="5"/>
      <c r="K112" s="4"/>
    </row>
    <row r="113" spans="1:11" ht="100.05" customHeight="1" x14ac:dyDescent="0.25">
      <c r="A113" s="45">
        <v>3</v>
      </c>
      <c r="B113" s="46" t="s">
        <v>387</v>
      </c>
      <c r="C113" s="46" t="s">
        <v>389</v>
      </c>
      <c r="D113" s="50" t="e" vm="1">
        <f ca="1">_xlfn.DISPIMG("ID_A2865FE8501F4EA6AE03DFBB42977FDB",1)</f>
        <v>#NAME?</v>
      </c>
      <c r="E113" s="46" t="s">
        <v>388</v>
      </c>
      <c r="F113" s="46" t="s">
        <v>384</v>
      </c>
      <c r="I113" s="5"/>
      <c r="K113" s="4"/>
    </row>
    <row r="114" spans="1:11" ht="100.05" customHeight="1" x14ac:dyDescent="0.25">
      <c r="A114" s="45">
        <v>4</v>
      </c>
      <c r="B114" s="46" t="s">
        <v>390</v>
      </c>
      <c r="C114" s="48" t="s">
        <v>392</v>
      </c>
      <c r="D114" s="44" t="e" vm="1">
        <f ca="1">_xlfn.DISPIMG("ID_11A96E86E0524E178B1A60470E05B253",1)</f>
        <v>#NAME?</v>
      </c>
      <c r="E114" s="46" t="s">
        <v>391</v>
      </c>
      <c r="F114" s="46" t="s">
        <v>384</v>
      </c>
      <c r="I114" s="5"/>
      <c r="K114" s="4"/>
    </row>
    <row r="115" spans="1:11" ht="100.05" customHeight="1" x14ac:dyDescent="0.25">
      <c r="A115" s="45">
        <v>5</v>
      </c>
      <c r="B115" s="47" t="s">
        <v>393</v>
      </c>
      <c r="C115" s="47" t="s">
        <v>21</v>
      </c>
      <c r="D115" t="e" vm="1">
        <f ca="1">_xlfn.DISPIMG("ID_91595D51C1FB4796A832B55457CD90AC",1)</f>
        <v>#NAME?</v>
      </c>
      <c r="E115" s="46" t="s">
        <v>394</v>
      </c>
      <c r="F115" s="46" t="s">
        <v>384</v>
      </c>
      <c r="I115" s="5"/>
      <c r="K115" s="4"/>
    </row>
    <row r="116" spans="1:11" ht="100.05" customHeight="1" x14ac:dyDescent="0.25">
      <c r="A116" s="45">
        <v>6</v>
      </c>
      <c r="B116" s="46" t="s">
        <v>395</v>
      </c>
      <c r="C116" s="46" t="s">
        <v>397</v>
      </c>
      <c r="D116" s="109" t="e" vm="1">
        <f ca="1">_xlfn.DISPIMG("ID_CAA93CB00FD541269576516E983C4CAB",1)</f>
        <v>#NAME?</v>
      </c>
      <c r="E116" s="111" t="s">
        <v>396</v>
      </c>
      <c r="F116" s="104" t="s">
        <v>398</v>
      </c>
      <c r="I116" s="5"/>
      <c r="K116" s="4"/>
    </row>
    <row r="117" spans="1:11" ht="100.05" customHeight="1" x14ac:dyDescent="0.25">
      <c r="A117" s="45">
        <v>7</v>
      </c>
      <c r="B117" s="46" t="s">
        <v>399</v>
      </c>
      <c r="C117" s="46" t="s">
        <v>400</v>
      </c>
      <c r="D117" s="106"/>
      <c r="E117" s="112"/>
      <c r="F117" s="104"/>
      <c r="I117" s="5"/>
      <c r="K117" s="4"/>
    </row>
    <row r="118" spans="1:11" ht="100.05" customHeight="1" x14ac:dyDescent="0.25">
      <c r="A118" s="45">
        <v>8</v>
      </c>
      <c r="B118" s="46" t="s">
        <v>401</v>
      </c>
      <c r="C118" s="46" t="s">
        <v>72</v>
      </c>
      <c r="D118" s="51" t="e" vm="1">
        <f ca="1">_xlfn.DISPIMG("ID_0D2E1E1A201C48E59ECBC424C61DA799",1)</f>
        <v>#NAME?</v>
      </c>
      <c r="E118" s="49" t="s">
        <v>402</v>
      </c>
      <c r="F118" s="46" t="s">
        <v>398</v>
      </c>
      <c r="I118" s="5"/>
      <c r="K118" s="4"/>
    </row>
    <row r="119" spans="1:11" ht="100.05" customHeight="1" x14ac:dyDescent="0.25">
      <c r="A119" s="45">
        <v>9</v>
      </c>
      <c r="B119" s="46" t="s">
        <v>401</v>
      </c>
      <c r="C119" s="46" t="s">
        <v>404</v>
      </c>
      <c r="D119" s="105" t="e" vm="1">
        <f ca="1">_xlfn.DISPIMG("ID_6A43B0ADCE2F440EB775CC347977842B",1)</f>
        <v>#NAME?</v>
      </c>
      <c r="E119" s="104" t="s">
        <v>403</v>
      </c>
      <c r="F119" s="104" t="s">
        <v>398</v>
      </c>
      <c r="I119" s="5"/>
      <c r="K119" s="4"/>
    </row>
    <row r="120" spans="1:11" ht="100.05" customHeight="1" x14ac:dyDescent="0.25">
      <c r="A120" s="45">
        <v>10</v>
      </c>
      <c r="B120" s="46" t="s">
        <v>395</v>
      </c>
      <c r="C120" s="46" t="s">
        <v>405</v>
      </c>
      <c r="D120" s="106"/>
      <c r="E120" s="104"/>
      <c r="F120" s="104"/>
      <c r="I120" s="5"/>
      <c r="K120" s="4"/>
    </row>
    <row r="121" spans="1:11" ht="100.05" customHeight="1" x14ac:dyDescent="0.25">
      <c r="A121" s="45">
        <v>11</v>
      </c>
      <c r="B121" s="12" t="s">
        <v>293</v>
      </c>
      <c r="C121" s="12" t="s">
        <v>294</v>
      </c>
      <c r="D121" s="13" t="e" vm="1">
        <f ca="1">_xlfn.DISPIMG("ID_5CF207C817644052812035A97E80030C",1)</f>
        <v>#NAME?</v>
      </c>
      <c r="E121" s="14" t="s">
        <v>295</v>
      </c>
      <c r="F121" s="24"/>
      <c r="J121" s="5"/>
      <c r="K121" s="4"/>
    </row>
    <row r="122" spans="1:11" ht="100.05" customHeight="1" x14ac:dyDescent="0.25">
      <c r="A122" s="11">
        <v>12</v>
      </c>
      <c r="B122" s="12" t="s">
        <v>273</v>
      </c>
      <c r="C122" s="12" t="s">
        <v>298</v>
      </c>
      <c r="D122" s="13" t="e" vm="1">
        <f ca="1">_xlfn.DISPIMG("ID_7DF4CD146A2F4A85A3ACC3DF2542BD3A",1)</f>
        <v>#NAME?</v>
      </c>
      <c r="E122" s="14" t="s">
        <v>299</v>
      </c>
      <c r="F122" s="24"/>
      <c r="J122" s="5"/>
      <c r="K122" s="4"/>
    </row>
    <row r="123" spans="1:11" ht="100.05" customHeight="1" x14ac:dyDescent="0.25">
      <c r="A123" s="11">
        <v>13</v>
      </c>
      <c r="B123" s="12" t="s">
        <v>174</v>
      </c>
      <c r="C123" s="12" t="s">
        <v>265</v>
      </c>
      <c r="D123" s="13" t="e" vm="1">
        <f ca="1">_xlfn.DISPIMG("ID_F68810C176C74A6D8AA5F5BDCDB43C28",1)</f>
        <v>#NAME?</v>
      </c>
      <c r="E123" s="14" t="s">
        <v>266</v>
      </c>
      <c r="F123" s="24"/>
      <c r="J123" s="5"/>
      <c r="K123" s="4"/>
    </row>
  </sheetData>
  <mergeCells count="74">
    <mergeCell ref="A1:F1"/>
    <mergeCell ref="G1:L1"/>
    <mergeCell ref="A3:F3"/>
    <mergeCell ref="G3:L3"/>
    <mergeCell ref="A19:F19"/>
    <mergeCell ref="G19:L19"/>
    <mergeCell ref="I83:I85"/>
    <mergeCell ref="I88:I90"/>
    <mergeCell ref="L91:L92"/>
    <mergeCell ref="A36:F36"/>
    <mergeCell ref="G36:L36"/>
    <mergeCell ref="A47:F47"/>
    <mergeCell ref="G47:L47"/>
    <mergeCell ref="A58:F58"/>
    <mergeCell ref="G58:L58"/>
    <mergeCell ref="I45:I46"/>
    <mergeCell ref="I52:I56"/>
    <mergeCell ref="G107:L107"/>
    <mergeCell ref="D7:D8"/>
    <mergeCell ref="D10:D11"/>
    <mergeCell ref="D23:D24"/>
    <mergeCell ref="D31:D33"/>
    <mergeCell ref="D40:D41"/>
    <mergeCell ref="D48:D49"/>
    <mergeCell ref="G52:G56"/>
    <mergeCell ref="G70:G71"/>
    <mergeCell ref="G83:G85"/>
    <mergeCell ref="H52:H56"/>
    <mergeCell ref="H70:H71"/>
    <mergeCell ref="I10:I12"/>
    <mergeCell ref="I26:I28"/>
    <mergeCell ref="I42:I44"/>
    <mergeCell ref="A67:F67"/>
    <mergeCell ref="D108:D109"/>
    <mergeCell ref="E10:E11"/>
    <mergeCell ref="E23:E24"/>
    <mergeCell ref="E40:E41"/>
    <mergeCell ref="E48:E49"/>
    <mergeCell ref="E99:E100"/>
    <mergeCell ref="A107:F107"/>
    <mergeCell ref="A82:F82"/>
    <mergeCell ref="A93:F93"/>
    <mergeCell ref="I100:I102"/>
    <mergeCell ref="I103:I104"/>
    <mergeCell ref="J52:J56"/>
    <mergeCell ref="K10:K12"/>
    <mergeCell ref="K26:K28"/>
    <mergeCell ref="K42:K44"/>
    <mergeCell ref="K45:K46"/>
    <mergeCell ref="K70:K71"/>
    <mergeCell ref="K83:K85"/>
    <mergeCell ref="K89:K90"/>
    <mergeCell ref="K100:K102"/>
    <mergeCell ref="K103:K104"/>
    <mergeCell ref="G67:L67"/>
    <mergeCell ref="G82:L82"/>
    <mergeCell ref="G93:L93"/>
    <mergeCell ref="I70:I71"/>
    <mergeCell ref="L100:L104"/>
    <mergeCell ref="L105:L106"/>
    <mergeCell ref="L62:L63"/>
    <mergeCell ref="L68:L73"/>
    <mergeCell ref="L74:L75"/>
    <mergeCell ref="L76:L77"/>
    <mergeCell ref="L83:L90"/>
    <mergeCell ref="F116:F117"/>
    <mergeCell ref="D119:D120"/>
    <mergeCell ref="F119:F120"/>
    <mergeCell ref="A110:F110"/>
    <mergeCell ref="D116:D117"/>
    <mergeCell ref="D111:D112"/>
    <mergeCell ref="E111:E112"/>
    <mergeCell ref="E119:E120"/>
    <mergeCell ref="E116:E117"/>
  </mergeCells>
  <phoneticPr fontId="17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"/>
  <sheetViews>
    <sheetView topLeftCell="A6" workbookViewId="0">
      <selection activeCell="L18" sqref="L18"/>
    </sheetView>
  </sheetViews>
  <sheetFormatPr defaultColWidth="15.6640625" defaultRowHeight="30" customHeight="1" x14ac:dyDescent="0.25"/>
  <cols>
    <col min="1" max="1" width="8.44140625" style="1" customWidth="1"/>
    <col min="2" max="2" width="12.77734375" style="1" customWidth="1"/>
    <col min="3" max="3" width="15.6640625" style="1" customWidth="1"/>
    <col min="4" max="16384" width="15.6640625" style="1"/>
  </cols>
  <sheetData>
    <row r="1" spans="1:6" ht="36" customHeight="1" x14ac:dyDescent="0.25">
      <c r="A1" s="94" t="s">
        <v>342</v>
      </c>
      <c r="B1" s="94"/>
      <c r="C1" s="94"/>
      <c r="D1" s="94"/>
      <c r="E1" s="94"/>
      <c r="F1" s="94"/>
    </row>
    <row r="2" spans="1:6" ht="30" customHeight="1" x14ac:dyDescent="0.25">
      <c r="A2" s="2" t="s">
        <v>2</v>
      </c>
      <c r="B2" s="2" t="s">
        <v>343</v>
      </c>
      <c r="C2" s="2" t="s">
        <v>314</v>
      </c>
      <c r="D2" s="2" t="s">
        <v>7</v>
      </c>
      <c r="E2" s="2" t="s">
        <v>8</v>
      </c>
      <c r="F2" s="2" t="s">
        <v>11</v>
      </c>
    </row>
    <row r="3" spans="1:6" ht="30" customHeight="1" x14ac:dyDescent="0.25">
      <c r="A3" s="2">
        <f>ROW()-2</f>
        <v>1</v>
      </c>
      <c r="B3" s="119" t="s">
        <v>344</v>
      </c>
      <c r="C3" s="2" t="s">
        <v>345</v>
      </c>
      <c r="D3" s="2">
        <v>59</v>
      </c>
      <c r="E3" s="2" t="s">
        <v>16</v>
      </c>
      <c r="F3" s="2"/>
    </row>
    <row r="4" spans="1:6" ht="30" customHeight="1" x14ac:dyDescent="0.25">
      <c r="A4" s="2"/>
      <c r="B4" s="119"/>
      <c r="C4" s="2" t="s">
        <v>71</v>
      </c>
      <c r="D4" s="2">
        <v>59</v>
      </c>
      <c r="E4" s="2" t="s">
        <v>16</v>
      </c>
      <c r="F4" s="2"/>
    </row>
    <row r="5" spans="1:6" ht="30" customHeight="1" x14ac:dyDescent="0.25">
      <c r="A5" s="2">
        <f t="shared" ref="A5:A15" si="0">ROW()-2</f>
        <v>3</v>
      </c>
      <c r="B5" s="119"/>
      <c r="C5" s="2" t="s">
        <v>77</v>
      </c>
      <c r="D5" s="2">
        <v>102</v>
      </c>
      <c r="E5" s="2" t="s">
        <v>80</v>
      </c>
      <c r="F5" s="2"/>
    </row>
    <row r="6" spans="1:6" ht="30" customHeight="1" x14ac:dyDescent="0.25">
      <c r="A6" s="2">
        <f t="shared" si="0"/>
        <v>4</v>
      </c>
      <c r="B6" s="119"/>
      <c r="C6" s="2" t="s">
        <v>67</v>
      </c>
      <c r="D6" s="2">
        <v>60</v>
      </c>
      <c r="E6" s="2" t="s">
        <v>80</v>
      </c>
      <c r="F6" s="2"/>
    </row>
    <row r="7" spans="1:6" ht="30" customHeight="1" x14ac:dyDescent="0.25">
      <c r="A7" s="2">
        <f t="shared" si="0"/>
        <v>5</v>
      </c>
      <c r="B7" s="119"/>
      <c r="C7" s="2" t="s">
        <v>346</v>
      </c>
      <c r="D7" s="2">
        <v>56</v>
      </c>
      <c r="E7" s="2" t="s">
        <v>156</v>
      </c>
      <c r="F7" s="2"/>
    </row>
    <row r="8" spans="1:6" ht="30" customHeight="1" x14ac:dyDescent="0.25">
      <c r="A8" s="2">
        <f t="shared" si="0"/>
        <v>6</v>
      </c>
      <c r="B8" s="119"/>
      <c r="C8" s="2" t="s">
        <v>347</v>
      </c>
      <c r="D8" s="2">
        <v>34</v>
      </c>
      <c r="E8" s="2" t="s">
        <v>348</v>
      </c>
      <c r="F8" s="2" t="s">
        <v>349</v>
      </c>
    </row>
    <row r="9" spans="1:6" ht="30" customHeight="1" x14ac:dyDescent="0.25">
      <c r="A9" s="2">
        <f t="shared" si="0"/>
        <v>7</v>
      </c>
      <c r="B9" s="119"/>
      <c r="C9" s="2" t="s">
        <v>350</v>
      </c>
      <c r="D9" s="2">
        <v>60</v>
      </c>
      <c r="E9" s="2" t="s">
        <v>348</v>
      </c>
      <c r="F9" s="2"/>
    </row>
    <row r="10" spans="1:6" ht="30" customHeight="1" x14ac:dyDescent="0.25">
      <c r="A10" s="2">
        <f t="shared" si="0"/>
        <v>8</v>
      </c>
      <c r="B10" s="119"/>
      <c r="C10" s="2" t="s">
        <v>351</v>
      </c>
      <c r="D10" s="2">
        <v>49</v>
      </c>
      <c r="E10" s="2" t="s">
        <v>80</v>
      </c>
      <c r="F10" s="2"/>
    </row>
    <row r="11" spans="1:6" ht="30" customHeight="1" x14ac:dyDescent="0.25">
      <c r="A11" s="2">
        <f t="shared" si="0"/>
        <v>9</v>
      </c>
      <c r="B11" s="119"/>
      <c r="C11" s="2" t="s">
        <v>352</v>
      </c>
      <c r="D11" s="2">
        <v>60</v>
      </c>
      <c r="E11" s="2" t="s">
        <v>80</v>
      </c>
      <c r="F11" s="2"/>
    </row>
    <row r="12" spans="1:6" ht="30" customHeight="1" x14ac:dyDescent="0.25">
      <c r="A12" s="2">
        <f t="shared" si="0"/>
        <v>10</v>
      </c>
      <c r="B12" s="119"/>
      <c r="C12" s="2" t="s">
        <v>353</v>
      </c>
      <c r="D12" s="2">
        <v>39</v>
      </c>
      <c r="E12" s="2" t="s">
        <v>80</v>
      </c>
      <c r="F12" s="2"/>
    </row>
    <row r="13" spans="1:6" ht="30" customHeight="1" x14ac:dyDescent="0.25">
      <c r="A13" s="2">
        <f t="shared" si="0"/>
        <v>11</v>
      </c>
      <c r="B13" s="119"/>
      <c r="C13" s="2" t="s">
        <v>42</v>
      </c>
      <c r="D13" s="2">
        <v>6</v>
      </c>
      <c r="E13" s="2" t="s">
        <v>16</v>
      </c>
      <c r="F13" s="2"/>
    </row>
    <row r="14" spans="1:6" ht="30" customHeight="1" x14ac:dyDescent="0.25">
      <c r="A14" s="2">
        <f t="shared" si="0"/>
        <v>12</v>
      </c>
      <c r="B14" s="119"/>
      <c r="C14" s="2" t="s">
        <v>354</v>
      </c>
      <c r="D14" s="2">
        <v>4</v>
      </c>
      <c r="E14" s="2" t="s">
        <v>16</v>
      </c>
      <c r="F14" s="2"/>
    </row>
    <row r="15" spans="1:6" ht="30" customHeight="1" x14ac:dyDescent="0.25">
      <c r="A15" s="2">
        <f t="shared" si="0"/>
        <v>13</v>
      </c>
      <c r="B15" s="2" t="s">
        <v>355</v>
      </c>
      <c r="C15" s="2" t="s">
        <v>346</v>
      </c>
      <c r="D15" s="2">
        <v>42</v>
      </c>
      <c r="E15" s="2" t="s">
        <v>156</v>
      </c>
      <c r="F15" s="2"/>
    </row>
  </sheetData>
  <mergeCells count="2">
    <mergeCell ref="A1:F1"/>
    <mergeCell ref="B3:B14"/>
  </mergeCells>
  <phoneticPr fontId="17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</sheetPr>
  <dimension ref="A1:F49"/>
  <sheetViews>
    <sheetView topLeftCell="A6" workbookViewId="0">
      <selection activeCell="B14" sqref="B14:B24"/>
    </sheetView>
  </sheetViews>
  <sheetFormatPr defaultColWidth="15.6640625" defaultRowHeight="30" customHeight="1" x14ac:dyDescent="0.25"/>
  <cols>
    <col min="1" max="2" width="15.6640625" style="1" customWidth="1"/>
    <col min="3" max="3" width="18.33203125" style="1" customWidth="1"/>
    <col min="4" max="4" width="15.6640625" style="1" customWidth="1"/>
    <col min="5" max="16384" width="15.6640625" style="1"/>
  </cols>
  <sheetData>
    <row r="1" spans="1:6" ht="30" customHeight="1" x14ac:dyDescent="0.25">
      <c r="A1" s="120" t="s">
        <v>356</v>
      </c>
      <c r="B1" s="120"/>
      <c r="C1" s="120"/>
      <c r="D1" s="120"/>
      <c r="E1" s="120"/>
      <c r="F1" s="120"/>
    </row>
    <row r="2" spans="1:6" ht="30" customHeight="1" x14ac:dyDescent="0.25">
      <c r="A2" s="2" t="s">
        <v>2</v>
      </c>
      <c r="B2" s="2" t="s">
        <v>357</v>
      </c>
      <c r="C2" s="2" t="s">
        <v>314</v>
      </c>
      <c r="D2" s="2" t="s">
        <v>7</v>
      </c>
      <c r="E2" s="2" t="s">
        <v>8</v>
      </c>
      <c r="F2" s="2" t="s">
        <v>11</v>
      </c>
    </row>
    <row r="3" spans="1:6" ht="30" customHeight="1" x14ac:dyDescent="0.25">
      <c r="A3" s="2">
        <f>ROW()-2</f>
        <v>1</v>
      </c>
      <c r="B3" s="119" t="s">
        <v>358</v>
      </c>
      <c r="C3" s="2" t="s">
        <v>359</v>
      </c>
      <c r="D3" s="2">
        <v>2</v>
      </c>
      <c r="E3" s="2" t="s">
        <v>16</v>
      </c>
      <c r="F3" s="2"/>
    </row>
    <row r="4" spans="1:6" ht="30" customHeight="1" x14ac:dyDescent="0.25">
      <c r="A4" s="2">
        <f>ROW()-2</f>
        <v>2</v>
      </c>
      <c r="B4" s="119"/>
      <c r="C4" s="2" t="s">
        <v>71</v>
      </c>
      <c r="D4" s="2">
        <v>4</v>
      </c>
      <c r="E4" s="2" t="s">
        <v>16</v>
      </c>
      <c r="F4" s="2"/>
    </row>
    <row r="5" spans="1:6" ht="30" customHeight="1" x14ac:dyDescent="0.25">
      <c r="A5" s="2">
        <f t="shared" ref="A5:A11" si="0">ROW()-2</f>
        <v>3</v>
      </c>
      <c r="B5" s="119"/>
      <c r="C5" s="2" t="s">
        <v>67</v>
      </c>
      <c r="D5" s="2">
        <v>4</v>
      </c>
      <c r="E5" s="2" t="s">
        <v>16</v>
      </c>
      <c r="F5" s="2"/>
    </row>
    <row r="6" spans="1:6" ht="30" customHeight="1" x14ac:dyDescent="0.25">
      <c r="A6" s="2">
        <f t="shared" si="0"/>
        <v>4</v>
      </c>
      <c r="B6" s="119"/>
      <c r="C6" s="2" t="s">
        <v>270</v>
      </c>
      <c r="D6" s="2">
        <v>4</v>
      </c>
      <c r="E6" s="2" t="s">
        <v>16</v>
      </c>
      <c r="F6" s="2"/>
    </row>
    <row r="7" spans="1:6" ht="30" customHeight="1" x14ac:dyDescent="0.25">
      <c r="A7" s="2">
        <f t="shared" si="0"/>
        <v>5</v>
      </c>
      <c r="B7" s="119"/>
      <c r="C7" s="2" t="s">
        <v>33</v>
      </c>
      <c r="D7" s="2">
        <v>4</v>
      </c>
      <c r="E7" s="2" t="s">
        <v>360</v>
      </c>
      <c r="F7" s="2"/>
    </row>
    <row r="8" spans="1:6" ht="30" customHeight="1" x14ac:dyDescent="0.25">
      <c r="A8" s="2">
        <f t="shared" si="0"/>
        <v>6</v>
      </c>
      <c r="B8" s="119"/>
      <c r="C8" s="2" t="s">
        <v>351</v>
      </c>
      <c r="D8" s="2">
        <v>1</v>
      </c>
      <c r="E8" s="2" t="s">
        <v>16</v>
      </c>
      <c r="F8" s="2"/>
    </row>
    <row r="9" spans="1:6" ht="30" customHeight="1" x14ac:dyDescent="0.25">
      <c r="A9" s="2">
        <f t="shared" si="0"/>
        <v>7</v>
      </c>
      <c r="B9" s="119"/>
      <c r="C9" s="2" t="s">
        <v>361</v>
      </c>
      <c r="D9" s="2">
        <v>1</v>
      </c>
      <c r="E9" s="2" t="s">
        <v>80</v>
      </c>
      <c r="F9" s="2"/>
    </row>
    <row r="10" spans="1:6" ht="30" customHeight="1" x14ac:dyDescent="0.25">
      <c r="A10" s="2">
        <f t="shared" si="0"/>
        <v>8</v>
      </c>
      <c r="B10" s="119"/>
      <c r="C10" s="2" t="s">
        <v>362</v>
      </c>
      <c r="D10" s="2">
        <v>1</v>
      </c>
      <c r="E10" s="2" t="s">
        <v>80</v>
      </c>
      <c r="F10" s="2"/>
    </row>
    <row r="11" spans="1:6" ht="30" customHeight="1" x14ac:dyDescent="0.25">
      <c r="A11" s="2">
        <f t="shared" si="0"/>
        <v>9</v>
      </c>
      <c r="B11" s="119"/>
      <c r="C11" s="2" t="s">
        <v>352</v>
      </c>
      <c r="D11" s="2">
        <v>1</v>
      </c>
      <c r="E11" s="2" t="s">
        <v>80</v>
      </c>
      <c r="F11" s="2"/>
    </row>
    <row r="12" spans="1:6" ht="30" customHeight="1" x14ac:dyDescent="0.25">
      <c r="A12" s="2"/>
      <c r="B12" s="119"/>
      <c r="C12" s="2" t="s">
        <v>363</v>
      </c>
      <c r="D12" s="2">
        <v>2</v>
      </c>
      <c r="E12" s="2" t="s">
        <v>80</v>
      </c>
      <c r="F12" s="2"/>
    </row>
    <row r="13" spans="1:6" ht="30" customHeight="1" x14ac:dyDescent="0.25">
      <c r="A13" s="2">
        <f t="shared" ref="A13:A22" si="1">ROW()-2</f>
        <v>11</v>
      </c>
      <c r="B13" s="119"/>
      <c r="C13" s="2" t="s">
        <v>350</v>
      </c>
      <c r="D13" s="2">
        <v>1</v>
      </c>
      <c r="E13" s="2" t="s">
        <v>348</v>
      </c>
      <c r="F13" s="2"/>
    </row>
    <row r="14" spans="1:6" ht="30" customHeight="1" x14ac:dyDescent="0.25">
      <c r="A14" s="2">
        <f t="shared" si="1"/>
        <v>12</v>
      </c>
      <c r="B14" s="119" t="s">
        <v>364</v>
      </c>
      <c r="C14" s="2" t="s">
        <v>365</v>
      </c>
      <c r="D14" s="2">
        <v>2</v>
      </c>
      <c r="E14" s="2" t="s">
        <v>16</v>
      </c>
      <c r="F14" s="2"/>
    </row>
    <row r="15" spans="1:6" ht="30" customHeight="1" x14ac:dyDescent="0.25">
      <c r="A15" s="2">
        <f t="shared" si="1"/>
        <v>13</v>
      </c>
      <c r="B15" s="119"/>
      <c r="C15" s="2" t="s">
        <v>77</v>
      </c>
      <c r="D15" s="2">
        <v>4</v>
      </c>
      <c r="E15" s="2" t="s">
        <v>16</v>
      </c>
      <c r="F15" s="2"/>
    </row>
    <row r="16" spans="1:6" ht="30" customHeight="1" x14ac:dyDescent="0.25">
      <c r="A16" s="2">
        <f t="shared" si="1"/>
        <v>14</v>
      </c>
      <c r="B16" s="119"/>
      <c r="C16" s="2" t="s">
        <v>67</v>
      </c>
      <c r="D16" s="2">
        <v>2</v>
      </c>
      <c r="E16" s="2" t="s">
        <v>16</v>
      </c>
      <c r="F16" s="2"/>
    </row>
    <row r="17" spans="1:6" ht="30" customHeight="1" x14ac:dyDescent="0.25">
      <c r="A17" s="2">
        <f t="shared" si="1"/>
        <v>15</v>
      </c>
      <c r="B17" s="119"/>
      <c r="C17" s="2" t="s">
        <v>270</v>
      </c>
      <c r="D17" s="2">
        <v>2</v>
      </c>
      <c r="E17" s="2" t="s">
        <v>16</v>
      </c>
      <c r="F17" s="2"/>
    </row>
    <row r="18" spans="1:6" ht="30" customHeight="1" x14ac:dyDescent="0.25">
      <c r="A18" s="2">
        <f t="shared" si="1"/>
        <v>16</v>
      </c>
      <c r="B18" s="119"/>
      <c r="C18" s="2" t="s">
        <v>33</v>
      </c>
      <c r="D18" s="2">
        <v>2</v>
      </c>
      <c r="E18" s="2" t="s">
        <v>360</v>
      </c>
      <c r="F18" s="2"/>
    </row>
    <row r="19" spans="1:6" ht="30" customHeight="1" x14ac:dyDescent="0.25">
      <c r="A19" s="2">
        <f t="shared" si="1"/>
        <v>17</v>
      </c>
      <c r="B19" s="119"/>
      <c r="C19" s="2" t="s">
        <v>351</v>
      </c>
      <c r="D19" s="2">
        <v>1</v>
      </c>
      <c r="E19" s="2" t="s">
        <v>16</v>
      </c>
      <c r="F19" s="2"/>
    </row>
    <row r="20" spans="1:6" ht="30" customHeight="1" x14ac:dyDescent="0.25">
      <c r="A20" s="2">
        <f t="shared" si="1"/>
        <v>18</v>
      </c>
      <c r="B20" s="119"/>
      <c r="C20" s="2" t="s">
        <v>361</v>
      </c>
      <c r="D20" s="2">
        <v>1</v>
      </c>
      <c r="E20" s="2" t="s">
        <v>80</v>
      </c>
      <c r="F20" s="2"/>
    </row>
    <row r="21" spans="1:6" ht="30" customHeight="1" x14ac:dyDescent="0.25">
      <c r="A21" s="2">
        <f t="shared" si="1"/>
        <v>19</v>
      </c>
      <c r="B21" s="119"/>
      <c r="C21" s="2" t="s">
        <v>362</v>
      </c>
      <c r="D21" s="2">
        <v>1</v>
      </c>
      <c r="E21" s="2" t="s">
        <v>80</v>
      </c>
      <c r="F21" s="2"/>
    </row>
    <row r="22" spans="1:6" ht="30" customHeight="1" x14ac:dyDescent="0.25">
      <c r="A22" s="2">
        <f t="shared" si="1"/>
        <v>20</v>
      </c>
      <c r="B22" s="119"/>
      <c r="C22" s="2" t="s">
        <v>352</v>
      </c>
      <c r="D22" s="2">
        <v>1</v>
      </c>
      <c r="E22" s="2" t="s">
        <v>80</v>
      </c>
      <c r="F22" s="2"/>
    </row>
    <row r="23" spans="1:6" ht="30" customHeight="1" x14ac:dyDescent="0.25">
      <c r="A23" s="2"/>
      <c r="B23" s="119"/>
      <c r="C23" s="2" t="s">
        <v>363</v>
      </c>
      <c r="D23" s="2">
        <v>2</v>
      </c>
      <c r="E23" s="2" t="s">
        <v>80</v>
      </c>
      <c r="F23" s="2"/>
    </row>
    <row r="24" spans="1:6" ht="30" customHeight="1" x14ac:dyDescent="0.25">
      <c r="A24" s="2">
        <f t="shared" ref="A24:A33" si="2">ROW()-2</f>
        <v>22</v>
      </c>
      <c r="B24" s="119"/>
      <c r="C24" s="2" t="s">
        <v>350</v>
      </c>
      <c r="D24" s="2">
        <v>1</v>
      </c>
      <c r="E24" s="2" t="s">
        <v>348</v>
      </c>
      <c r="F24" s="2"/>
    </row>
    <row r="25" spans="1:6" ht="30" customHeight="1" x14ac:dyDescent="0.25">
      <c r="A25" s="2">
        <f t="shared" si="2"/>
        <v>23</v>
      </c>
      <c r="B25" s="119" t="s">
        <v>366</v>
      </c>
      <c r="C25" s="2" t="s">
        <v>367</v>
      </c>
      <c r="D25" s="2">
        <v>1</v>
      </c>
      <c r="E25" s="2" t="s">
        <v>16</v>
      </c>
      <c r="F25" s="2"/>
    </row>
    <row r="26" spans="1:6" ht="30" customHeight="1" x14ac:dyDescent="0.25">
      <c r="A26" s="2">
        <f t="shared" si="2"/>
        <v>24</v>
      </c>
      <c r="B26" s="119"/>
      <c r="C26" s="2" t="s">
        <v>77</v>
      </c>
      <c r="D26" s="2">
        <v>2</v>
      </c>
      <c r="E26" s="2" t="s">
        <v>16</v>
      </c>
      <c r="F26" s="2"/>
    </row>
    <row r="27" spans="1:6" ht="30" customHeight="1" x14ac:dyDescent="0.25">
      <c r="A27" s="2">
        <f t="shared" si="2"/>
        <v>25</v>
      </c>
      <c r="B27" s="119"/>
      <c r="C27" s="2" t="s">
        <v>67</v>
      </c>
      <c r="D27" s="2">
        <v>1</v>
      </c>
      <c r="E27" s="2" t="s">
        <v>16</v>
      </c>
      <c r="F27" s="2"/>
    </row>
    <row r="28" spans="1:6" ht="30" customHeight="1" x14ac:dyDescent="0.25">
      <c r="A28" s="2">
        <f t="shared" si="2"/>
        <v>26</v>
      </c>
      <c r="B28" s="119"/>
      <c r="C28" s="2" t="s">
        <v>270</v>
      </c>
      <c r="D28" s="2">
        <v>1</v>
      </c>
      <c r="E28" s="2" t="s">
        <v>16</v>
      </c>
      <c r="F28" s="2"/>
    </row>
    <row r="29" spans="1:6" ht="30" customHeight="1" x14ac:dyDescent="0.25">
      <c r="A29" s="2">
        <f t="shared" si="2"/>
        <v>27</v>
      </c>
      <c r="B29" s="119"/>
      <c r="C29" s="2" t="s">
        <v>33</v>
      </c>
      <c r="D29" s="2">
        <v>1</v>
      </c>
      <c r="E29" s="2" t="s">
        <v>360</v>
      </c>
      <c r="F29" s="2"/>
    </row>
    <row r="30" spans="1:6" ht="30" customHeight="1" x14ac:dyDescent="0.25">
      <c r="A30" s="2">
        <f t="shared" si="2"/>
        <v>28</v>
      </c>
      <c r="B30" s="119"/>
      <c r="C30" s="2" t="s">
        <v>351</v>
      </c>
      <c r="D30" s="2">
        <v>1</v>
      </c>
      <c r="E30" s="2" t="s">
        <v>16</v>
      </c>
      <c r="F30" s="2"/>
    </row>
    <row r="31" spans="1:6" ht="30" customHeight="1" x14ac:dyDescent="0.25">
      <c r="A31" s="2">
        <f t="shared" si="2"/>
        <v>29</v>
      </c>
      <c r="B31" s="119"/>
      <c r="C31" s="2" t="s">
        <v>361</v>
      </c>
      <c r="D31" s="2">
        <v>1</v>
      </c>
      <c r="E31" s="2" t="s">
        <v>80</v>
      </c>
      <c r="F31" s="2"/>
    </row>
    <row r="32" spans="1:6" ht="30" customHeight="1" x14ac:dyDescent="0.25">
      <c r="A32" s="2">
        <f t="shared" si="2"/>
        <v>30</v>
      </c>
      <c r="B32" s="119"/>
      <c r="C32" s="2" t="s">
        <v>362</v>
      </c>
      <c r="D32" s="2">
        <v>1</v>
      </c>
      <c r="E32" s="2" t="s">
        <v>80</v>
      </c>
      <c r="F32" s="2"/>
    </row>
    <row r="33" spans="1:6" ht="30" customHeight="1" x14ac:dyDescent="0.25">
      <c r="A33" s="2">
        <f t="shared" si="2"/>
        <v>31</v>
      </c>
      <c r="B33" s="119"/>
      <c r="C33" s="2" t="s">
        <v>352</v>
      </c>
      <c r="D33" s="2">
        <v>1</v>
      </c>
      <c r="E33" s="2" t="s">
        <v>80</v>
      </c>
      <c r="F33" s="2"/>
    </row>
    <row r="34" spans="1:6" ht="30" customHeight="1" x14ac:dyDescent="0.25">
      <c r="A34" s="2"/>
      <c r="B34" s="119"/>
      <c r="C34" s="2" t="s">
        <v>363</v>
      </c>
      <c r="D34" s="2">
        <v>2</v>
      </c>
      <c r="E34" s="2" t="s">
        <v>80</v>
      </c>
      <c r="F34" s="2"/>
    </row>
    <row r="35" spans="1:6" ht="30" customHeight="1" x14ac:dyDescent="0.25">
      <c r="A35" s="2">
        <f t="shared" ref="A35:A47" si="3">ROW()-2</f>
        <v>33</v>
      </c>
      <c r="B35" s="119"/>
      <c r="C35" s="2" t="s">
        <v>350</v>
      </c>
      <c r="D35" s="2">
        <v>1</v>
      </c>
      <c r="E35" s="2" t="s">
        <v>348</v>
      </c>
      <c r="F35" s="2"/>
    </row>
    <row r="36" spans="1:6" ht="30" customHeight="1" x14ac:dyDescent="0.25">
      <c r="A36" s="2">
        <f t="shared" si="3"/>
        <v>34</v>
      </c>
      <c r="B36" s="119" t="s">
        <v>368</v>
      </c>
      <c r="C36" s="2" t="s">
        <v>367</v>
      </c>
      <c r="D36" s="2">
        <v>1</v>
      </c>
      <c r="E36" s="2" t="s">
        <v>16</v>
      </c>
      <c r="F36" s="2"/>
    </row>
    <row r="37" spans="1:6" ht="30" customHeight="1" x14ac:dyDescent="0.25">
      <c r="A37" s="2">
        <f t="shared" si="3"/>
        <v>35</v>
      </c>
      <c r="B37" s="119"/>
      <c r="C37" s="2" t="s">
        <v>77</v>
      </c>
      <c r="D37" s="2">
        <v>2</v>
      </c>
      <c r="E37" s="2" t="s">
        <v>16</v>
      </c>
      <c r="F37" s="2"/>
    </row>
    <row r="38" spans="1:6" ht="30" customHeight="1" x14ac:dyDescent="0.25">
      <c r="A38" s="2">
        <f t="shared" si="3"/>
        <v>36</v>
      </c>
      <c r="B38" s="119"/>
      <c r="C38" s="2" t="s">
        <v>67</v>
      </c>
      <c r="D38" s="2">
        <v>1</v>
      </c>
      <c r="E38" s="2" t="s">
        <v>16</v>
      </c>
      <c r="F38" s="2"/>
    </row>
    <row r="39" spans="1:6" ht="30" customHeight="1" x14ac:dyDescent="0.25">
      <c r="A39" s="2">
        <f t="shared" si="3"/>
        <v>37</v>
      </c>
      <c r="B39" s="119"/>
      <c r="C39" s="2" t="s">
        <v>42</v>
      </c>
      <c r="D39" s="2">
        <v>1</v>
      </c>
      <c r="E39" s="2" t="s">
        <v>16</v>
      </c>
      <c r="F39" s="2"/>
    </row>
    <row r="40" spans="1:6" ht="30" customHeight="1" x14ac:dyDescent="0.25">
      <c r="A40" s="2">
        <f t="shared" si="3"/>
        <v>38</v>
      </c>
      <c r="B40" s="119"/>
      <c r="C40" s="2" t="s">
        <v>54</v>
      </c>
      <c r="D40" s="2">
        <v>1</v>
      </c>
      <c r="E40" s="2" t="s">
        <v>360</v>
      </c>
      <c r="F40" s="2"/>
    </row>
    <row r="41" spans="1:6" ht="30" customHeight="1" x14ac:dyDescent="0.25">
      <c r="A41" s="2">
        <f t="shared" si="3"/>
        <v>39</v>
      </c>
      <c r="B41" s="119"/>
      <c r="C41" s="2" t="s">
        <v>369</v>
      </c>
      <c r="D41" s="2">
        <v>1</v>
      </c>
      <c r="E41" s="2" t="s">
        <v>16</v>
      </c>
      <c r="F41" s="2"/>
    </row>
    <row r="42" spans="1:6" ht="30" customHeight="1" x14ac:dyDescent="0.25">
      <c r="A42" s="2">
        <f t="shared" si="3"/>
        <v>40</v>
      </c>
      <c r="B42" s="119"/>
      <c r="C42" s="2" t="s">
        <v>33</v>
      </c>
      <c r="D42" s="2">
        <v>4</v>
      </c>
      <c r="E42" s="2" t="s">
        <v>16</v>
      </c>
      <c r="F42" s="2"/>
    </row>
    <row r="43" spans="1:6" ht="30" customHeight="1" x14ac:dyDescent="0.25">
      <c r="A43" s="2">
        <f t="shared" si="3"/>
        <v>41</v>
      </c>
      <c r="B43" s="119"/>
      <c r="C43" s="2" t="s">
        <v>351</v>
      </c>
      <c r="D43" s="2">
        <v>1</v>
      </c>
      <c r="E43" s="2" t="s">
        <v>16</v>
      </c>
      <c r="F43" s="2"/>
    </row>
    <row r="44" spans="1:6" ht="30" customHeight="1" x14ac:dyDescent="0.25">
      <c r="A44" s="2">
        <f t="shared" si="3"/>
        <v>42</v>
      </c>
      <c r="B44" s="119"/>
      <c r="C44" s="2" t="s">
        <v>361</v>
      </c>
      <c r="D44" s="2">
        <v>1</v>
      </c>
      <c r="E44" s="2" t="s">
        <v>80</v>
      </c>
      <c r="F44" s="2"/>
    </row>
    <row r="45" spans="1:6" ht="30" customHeight="1" x14ac:dyDescent="0.25">
      <c r="A45" s="2">
        <f t="shared" si="3"/>
        <v>43</v>
      </c>
      <c r="B45" s="119"/>
      <c r="C45" s="2" t="s">
        <v>362</v>
      </c>
      <c r="D45" s="2">
        <v>1</v>
      </c>
      <c r="E45" s="2" t="s">
        <v>80</v>
      </c>
      <c r="F45" s="2"/>
    </row>
    <row r="46" spans="1:6" ht="30" customHeight="1" x14ac:dyDescent="0.25">
      <c r="A46" s="2">
        <f t="shared" si="3"/>
        <v>44</v>
      </c>
      <c r="B46" s="119"/>
      <c r="C46" s="2" t="s">
        <v>352</v>
      </c>
      <c r="D46" s="2">
        <v>1</v>
      </c>
      <c r="E46" s="2" t="s">
        <v>80</v>
      </c>
      <c r="F46" s="2"/>
    </row>
    <row r="47" spans="1:6" ht="30" customHeight="1" x14ac:dyDescent="0.25">
      <c r="A47" s="2">
        <f t="shared" si="3"/>
        <v>45</v>
      </c>
      <c r="B47" s="119"/>
      <c r="C47" s="2" t="s">
        <v>363</v>
      </c>
      <c r="D47" s="2">
        <v>2</v>
      </c>
      <c r="E47" s="2" t="s">
        <v>80</v>
      </c>
      <c r="F47" s="2"/>
    </row>
    <row r="48" spans="1:6" ht="30" customHeight="1" x14ac:dyDescent="0.25">
      <c r="A48" s="2"/>
      <c r="B48" s="119"/>
      <c r="C48" s="2" t="s">
        <v>347</v>
      </c>
      <c r="D48" s="2">
        <v>1</v>
      </c>
      <c r="E48" s="2" t="s">
        <v>348</v>
      </c>
      <c r="F48" s="2"/>
    </row>
    <row r="49" spans="1:6" ht="30" customHeight="1" x14ac:dyDescent="0.25">
      <c r="A49" s="2">
        <f>ROW()-2</f>
        <v>47</v>
      </c>
      <c r="B49" s="119"/>
      <c r="C49" s="2" t="s">
        <v>350</v>
      </c>
      <c r="D49" s="2">
        <v>1</v>
      </c>
      <c r="E49" s="2" t="s">
        <v>348</v>
      </c>
      <c r="F49" s="2"/>
    </row>
  </sheetData>
  <mergeCells count="5">
    <mergeCell ref="A1:F1"/>
    <mergeCell ref="B3:B13"/>
    <mergeCell ref="B14:B24"/>
    <mergeCell ref="B25:B35"/>
    <mergeCell ref="B36:B49"/>
  </mergeCells>
  <phoneticPr fontId="17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/>
  </sheetPr>
  <dimension ref="A1:F9"/>
  <sheetViews>
    <sheetView workbookViewId="0">
      <selection activeCell="F10" sqref="F10"/>
    </sheetView>
  </sheetViews>
  <sheetFormatPr defaultColWidth="15.6640625" defaultRowHeight="30" customHeight="1" x14ac:dyDescent="0.25"/>
  <cols>
    <col min="1" max="1" width="7.88671875" style="1" customWidth="1"/>
    <col min="2" max="16384" width="15.6640625" style="1"/>
  </cols>
  <sheetData>
    <row r="1" spans="1:6" ht="37.049999999999997" customHeight="1" x14ac:dyDescent="0.25">
      <c r="A1" s="121" t="s">
        <v>370</v>
      </c>
      <c r="B1" s="121"/>
      <c r="C1" s="121"/>
      <c r="D1" s="121"/>
      <c r="E1" s="121"/>
      <c r="F1" s="121"/>
    </row>
    <row r="2" spans="1:6" ht="43.05" customHeight="1" x14ac:dyDescent="0.25">
      <c r="A2" s="2" t="s">
        <v>2</v>
      </c>
      <c r="B2" s="2" t="s">
        <v>357</v>
      </c>
      <c r="C2" s="2" t="s">
        <v>371</v>
      </c>
      <c r="D2" s="2" t="s">
        <v>7</v>
      </c>
      <c r="E2" s="2" t="s">
        <v>8</v>
      </c>
      <c r="F2" s="2" t="s">
        <v>11</v>
      </c>
    </row>
    <row r="3" spans="1:6" ht="43.05" customHeight="1" x14ac:dyDescent="0.25">
      <c r="A3" s="2">
        <f t="shared" ref="A3:A9" si="0">ROW()-2</f>
        <v>1</v>
      </c>
      <c r="B3" s="2" t="s">
        <v>372</v>
      </c>
      <c r="C3" s="2" t="s">
        <v>368</v>
      </c>
      <c r="D3" s="2">
        <v>12</v>
      </c>
      <c r="E3" s="2" t="s">
        <v>373</v>
      </c>
      <c r="F3" s="2"/>
    </row>
    <row r="4" spans="1:6" ht="43.05" customHeight="1" x14ac:dyDescent="0.25">
      <c r="A4" s="2">
        <f t="shared" si="0"/>
        <v>2</v>
      </c>
      <c r="B4" s="2" t="s">
        <v>372</v>
      </c>
      <c r="C4" s="2" t="s">
        <v>366</v>
      </c>
      <c r="D4" s="2">
        <v>37</v>
      </c>
      <c r="E4" s="2" t="s">
        <v>373</v>
      </c>
      <c r="F4" s="2"/>
    </row>
    <row r="5" spans="1:6" ht="43.05" customHeight="1" x14ac:dyDescent="0.25">
      <c r="A5" s="2">
        <f t="shared" si="0"/>
        <v>3</v>
      </c>
      <c r="B5" s="2" t="s">
        <v>372</v>
      </c>
      <c r="C5" s="2" t="s">
        <v>364</v>
      </c>
      <c r="D5" s="2">
        <v>47</v>
      </c>
      <c r="E5" s="2" t="s">
        <v>373</v>
      </c>
      <c r="F5" s="2"/>
    </row>
    <row r="6" spans="1:6" ht="43.05" customHeight="1" x14ac:dyDescent="0.25">
      <c r="A6" s="2">
        <f t="shared" si="0"/>
        <v>4</v>
      </c>
      <c r="B6" s="2" t="s">
        <v>372</v>
      </c>
      <c r="C6" s="2" t="s">
        <v>358</v>
      </c>
      <c r="D6" s="2">
        <v>38</v>
      </c>
      <c r="E6" s="2" t="s">
        <v>373</v>
      </c>
      <c r="F6" s="3" t="s">
        <v>374</v>
      </c>
    </row>
    <row r="7" spans="1:6" ht="30" customHeight="1" x14ac:dyDescent="0.25">
      <c r="A7" s="2">
        <f t="shared" si="0"/>
        <v>5</v>
      </c>
      <c r="B7" s="2" t="s">
        <v>375</v>
      </c>
      <c r="C7" s="2" t="s">
        <v>368</v>
      </c>
      <c r="D7" s="2">
        <v>3</v>
      </c>
      <c r="E7" s="2" t="s">
        <v>373</v>
      </c>
      <c r="F7" s="2"/>
    </row>
    <row r="8" spans="1:6" ht="30" customHeight="1" x14ac:dyDescent="0.25">
      <c r="A8" s="2">
        <f t="shared" si="0"/>
        <v>6</v>
      </c>
      <c r="B8" s="2" t="s">
        <v>375</v>
      </c>
      <c r="C8" s="2" t="s">
        <v>366</v>
      </c>
      <c r="D8" s="2">
        <v>7</v>
      </c>
      <c r="E8" s="2" t="s">
        <v>373</v>
      </c>
      <c r="F8" s="2"/>
    </row>
    <row r="9" spans="1:6" ht="30" customHeight="1" x14ac:dyDescent="0.25">
      <c r="A9" s="2">
        <f t="shared" si="0"/>
        <v>7</v>
      </c>
      <c r="B9" s="2" t="s">
        <v>375</v>
      </c>
      <c r="C9" s="2" t="s">
        <v>364</v>
      </c>
      <c r="D9" s="2">
        <v>10</v>
      </c>
      <c r="E9" s="2" t="s">
        <v>373</v>
      </c>
      <c r="F9" s="2"/>
    </row>
  </sheetData>
  <mergeCells count="1">
    <mergeCell ref="A1:F1"/>
  </mergeCells>
  <phoneticPr fontId="1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Sheet1</vt:lpstr>
      <vt:lpstr>办公楼及宿舍楼家具报价</vt:lpstr>
      <vt:lpstr>参考方案</vt:lpstr>
      <vt:lpstr>上京宿舍及公司物品</vt:lpstr>
      <vt:lpstr>生活园区宿舍物品清单</vt:lpstr>
      <vt:lpstr>入住生活园区宿舍房间数量汇总表</vt:lpstr>
      <vt:lpstr>办公楼及宿舍楼家具报价!Print_Titles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meihui zhang</cp:lastModifiedBy>
  <dcterms:created xsi:type="dcterms:W3CDTF">2024-05-11T00:29:00Z</dcterms:created>
  <dcterms:modified xsi:type="dcterms:W3CDTF">2024-05-28T07:36:36Z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8185BF456C7749FA931E6A799C088C15_11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false</vt:bool>
  </property>
</Properties>
</file>